
<file path=[Content_Types].xml><?xml version="1.0" encoding="utf-8"?>
<Types xmlns="http://schemas.openxmlformats.org/package/2006/content-types">
  <Default Extension="bin" ContentType="application/vnd.openxmlformats-officedocument.spreadsheetml.printerSettings"/>
  <Default Extension="gif" ContentType="image/gi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3.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drawings/drawing4.xml" ContentType="application/vnd.openxmlformats-officedocument.drawing+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66925"/>
  <mc:AlternateContent xmlns:mc="http://schemas.openxmlformats.org/markup-compatibility/2006">
    <mc:Choice Requires="x15">
      <x15ac:absPath xmlns:x15ac="http://schemas.microsoft.com/office/spreadsheetml/2010/11/ac" url="https://permobil-my.sharepoint.com/personal/u-mik-0007_permobil_com/Documents/Documents/Mina webbplatser/www.panthera.se/panthera/documentation/orderguide/excel/"/>
    </mc:Choice>
  </mc:AlternateContent>
  <xr:revisionPtr revIDLastSave="0" documentId="8_{594CBE01-B2A6-4AC7-BF2D-AE152DBA01BC}" xr6:coauthVersionLast="47" xr6:coauthVersionMax="47" xr10:uidLastSave="{00000000-0000-0000-0000-000000000000}"/>
  <workbookProtection workbookAlgorithmName="SHA-512" workbookHashValue="gnJkqCg4qVM3jlnV5q1jC3vn9p13dXtBb/lI5zhx5wxXBYzeGrsAz/WI4bU5+aFt6+NWijRyq6puVO8iAlkKIg==" workbookSaltValue="ljXsVHr2weKRXVeRYxvD9A==" workbookSpinCount="100000" lockStructure="1"/>
  <bookViews>
    <workbookView xWindow="-120" yWindow="-120" windowWidth="25440" windowHeight="15390" tabRatio="756" xr2:uid="{AC64612F-DD7D-4C33-BAB1-EE7F55C2F48E}"/>
  </bookViews>
  <sheets>
    <sheet name="S3 U3 Swing" sheetId="7" r:id="rId1"/>
    <sheet name="S3 models" sheetId="1" r:id="rId2"/>
    <sheet name="Weights" sheetId="2" state="hidden" r:id="rId3"/>
    <sheet name="U3 models" sheetId="5" r:id="rId4"/>
    <sheet name="Weights_U3" sheetId="4" state="hidden" r:id="rId5"/>
    <sheet name="S3 Swing models" sheetId="8" r:id="rId6"/>
    <sheet name="GP" sheetId="10" state="hidden" r:id="rId7"/>
    <sheet name="Weights_Swing" sheetId="9" state="hidden" r:id="rId8"/>
    <sheet name="Language" sheetId="11" state="hidden" r:id="rId9"/>
  </sheets>
  <definedNames>
    <definedName name="Välj_höjning">Weights!$A$161:$A$167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8" l="1"/>
  <c r="B3" i="5"/>
  <c r="J127" i="9" a="1"/>
  <c r="J127" i="9" s="1"/>
  <c r="J126" i="4" l="1" a="1"/>
  <c r="J126" i="4" s="1"/>
  <c r="G3" i="4" a="1"/>
  <c r="G3" i="4" s="1"/>
  <c r="G30" i="2" a="1"/>
  <c r="G30" i="2" s="1"/>
  <c r="G128" i="2" a="1"/>
  <c r="G128" i="2" s="1"/>
  <c r="D196" i="1" s="1"/>
  <c r="D16" i="1"/>
  <c r="G127" i="2" a="1"/>
  <c r="G127" i="2" s="1"/>
  <c r="G126" i="2" a="1"/>
  <c r="G126" i="2" s="1"/>
  <c r="A130" i="2"/>
  <c r="A129" i="2"/>
  <c r="D133" i="1"/>
  <c r="D132" i="1"/>
  <c r="E135" i="1"/>
  <c r="I127" i="2" a="1"/>
  <c r="I127" i="2" s="1"/>
  <c r="H150" i="9" a="1"/>
  <c r="H150" i="9" s="1"/>
  <c r="H153" i="4" a="1"/>
  <c r="H153" i="4" s="1"/>
  <c r="H156" i="5" s="1"/>
  <c r="H152" i="2" a="1"/>
  <c r="H152" i="2" s="1"/>
  <c r="I152" i="2"/>
  <c r="E159" i="9"/>
  <c r="B159" i="9"/>
  <c r="E158" i="9"/>
  <c r="B158" i="9"/>
  <c r="E157" i="9"/>
  <c r="B157" i="9"/>
  <c r="E156" i="9"/>
  <c r="B156" i="9"/>
  <c r="E155" i="9"/>
  <c r="B155" i="9"/>
  <c r="E154" i="9"/>
  <c r="B154" i="9"/>
  <c r="A148" i="9"/>
  <c r="A147" i="9"/>
  <c r="A146" i="9"/>
  <c r="A145" i="9"/>
  <c r="A144" i="9"/>
  <c r="A143" i="9"/>
  <c r="A140" i="9"/>
  <c r="A139" i="9"/>
  <c r="A138" i="9"/>
  <c r="A137" i="9"/>
  <c r="A136" i="9"/>
  <c r="A134" i="9"/>
  <c r="A133" i="9"/>
  <c r="A131" i="9"/>
  <c r="A128" i="9"/>
  <c r="A127" i="9"/>
  <c r="A125" i="9"/>
  <c r="A122" i="9"/>
  <c r="A121" i="9"/>
  <c r="A120" i="9"/>
  <c r="A119" i="9"/>
  <c r="A116" i="9"/>
  <c r="A115" i="9"/>
  <c r="A114" i="9"/>
  <c r="A113" i="9"/>
  <c r="A112" i="9"/>
  <c r="A109" i="9"/>
  <c r="A108" i="9"/>
  <c r="A107" i="9"/>
  <c r="A106" i="9"/>
  <c r="A105" i="9"/>
  <c r="A102" i="9"/>
  <c r="A101" i="9"/>
  <c r="A100" i="9"/>
  <c r="A96" i="9"/>
  <c r="A95" i="9"/>
  <c r="A94" i="9"/>
  <c r="A93" i="9"/>
  <c r="A92" i="9"/>
  <c r="A91" i="9"/>
  <c r="A90" i="9"/>
  <c r="A89" i="9"/>
  <c r="A88" i="9"/>
  <c r="A87" i="9"/>
  <c r="A86" i="9"/>
  <c r="A85" i="9"/>
  <c r="A84" i="9"/>
  <c r="A83" i="9"/>
  <c r="A82" i="9"/>
  <c r="A81" i="9"/>
  <c r="A80" i="9"/>
  <c r="A77" i="9"/>
  <c r="A76" i="9"/>
  <c r="A75" i="9"/>
  <c r="A74" i="9"/>
  <c r="A70" i="9"/>
  <c r="A66" i="9"/>
  <c r="A65" i="9"/>
  <c r="A64" i="9"/>
  <c r="A61" i="9"/>
  <c r="A55" i="9"/>
  <c r="A54" i="9"/>
  <c r="A53" i="9"/>
  <c r="A41" i="9"/>
  <c r="A40" i="9"/>
  <c r="A39" i="9"/>
  <c r="A38" i="9"/>
  <c r="A37" i="9"/>
  <c r="A36" i="9"/>
  <c r="A35" i="9"/>
  <c r="A14" i="9"/>
  <c r="A13" i="9"/>
  <c r="A12" i="9"/>
  <c r="A6" i="9"/>
  <c r="A5" i="9"/>
  <c r="A4" i="9"/>
  <c r="A3" i="9"/>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H177" i="8"/>
  <c r="F177" i="8"/>
  <c r="D177" i="8"/>
  <c r="B177" i="8"/>
  <c r="A168" i="8"/>
  <c r="F162" i="8"/>
  <c r="F161" i="8"/>
  <c r="B161" i="8"/>
  <c r="F160" i="8"/>
  <c r="D160" i="8"/>
  <c r="B160" i="8"/>
  <c r="B156" i="8"/>
  <c r="F155" i="8"/>
  <c r="B155" i="8"/>
  <c r="F154" i="8"/>
  <c r="B154" i="8"/>
  <c r="A152" i="8"/>
  <c r="B148" i="8"/>
  <c r="B147" i="8"/>
  <c r="E145" i="8"/>
  <c r="B145" i="8"/>
  <c r="I144" i="8"/>
  <c r="J143" i="8"/>
  <c r="I143" i="8"/>
  <c r="E143" i="8"/>
  <c r="B143" i="8"/>
  <c r="I142" i="8"/>
  <c r="F142" i="8"/>
  <c r="I141" i="8"/>
  <c r="G141" i="8"/>
  <c r="F141" i="8"/>
  <c r="B141" i="8"/>
  <c r="I140" i="8"/>
  <c r="I139" i="8"/>
  <c r="F139" i="8"/>
  <c r="B139" i="8"/>
  <c r="H138" i="8"/>
  <c r="F138" i="8"/>
  <c r="B138" i="8"/>
  <c r="I136" i="8"/>
  <c r="J135" i="8"/>
  <c r="G135" i="8"/>
  <c r="F135" i="8"/>
  <c r="C135" i="8"/>
  <c r="I133" i="8"/>
  <c r="F133" i="8"/>
  <c r="I132" i="8"/>
  <c r="B132" i="8"/>
  <c r="I131" i="8"/>
  <c r="B131" i="8"/>
  <c r="I130" i="8"/>
  <c r="G130" i="8"/>
  <c r="E130" i="8"/>
  <c r="B130" i="8"/>
  <c r="I129" i="8"/>
  <c r="B127" i="8"/>
  <c r="C126" i="8"/>
  <c r="B125" i="8"/>
  <c r="I124" i="8"/>
  <c r="B124" i="8"/>
  <c r="B123" i="8"/>
  <c r="I122" i="8"/>
  <c r="G122" i="8"/>
  <c r="F122" i="8"/>
  <c r="B122" i="8"/>
  <c r="I121" i="8"/>
  <c r="E121" i="8"/>
  <c r="B121" i="8"/>
  <c r="B119" i="8"/>
  <c r="C118" i="8"/>
  <c r="I117" i="8"/>
  <c r="I116" i="8"/>
  <c r="F116" i="8"/>
  <c r="C116" i="8"/>
  <c r="I115" i="8"/>
  <c r="F115" i="8"/>
  <c r="B115" i="8"/>
  <c r="I114" i="8"/>
  <c r="F114" i="8"/>
  <c r="B114" i="8"/>
  <c r="A113" i="8"/>
  <c r="B109" i="8"/>
  <c r="C108" i="8"/>
  <c r="I107" i="8"/>
  <c r="E107" i="8"/>
  <c r="I106" i="8"/>
  <c r="I105" i="8"/>
  <c r="E105" i="8"/>
  <c r="B105" i="8"/>
  <c r="B103" i="8"/>
  <c r="B101" i="8"/>
  <c r="G100" i="8"/>
  <c r="E100" i="8"/>
  <c r="C100" i="8"/>
  <c r="G99" i="8"/>
  <c r="E99" i="8"/>
  <c r="G98" i="8"/>
  <c r="E98" i="8"/>
  <c r="G97" i="8"/>
  <c r="E97" i="8"/>
  <c r="G96" i="8"/>
  <c r="E96" i="8"/>
  <c r="G95" i="8"/>
  <c r="E95" i="8"/>
  <c r="G94" i="8"/>
  <c r="E94" i="8"/>
  <c r="I93" i="8"/>
  <c r="G93" i="8"/>
  <c r="E93" i="8"/>
  <c r="C93" i="8"/>
  <c r="B93" i="8"/>
  <c r="I92" i="8"/>
  <c r="F92" i="8"/>
  <c r="E92" i="8"/>
  <c r="C92" i="8"/>
  <c r="B92" i="8"/>
  <c r="I91" i="8"/>
  <c r="F91" i="8"/>
  <c r="E91" i="8"/>
  <c r="C91" i="8"/>
  <c r="B91" i="8"/>
  <c r="H90" i="8"/>
  <c r="F90" i="8"/>
  <c r="E90" i="8"/>
  <c r="C90" i="8"/>
  <c r="B90" i="8"/>
  <c r="B86" i="8"/>
  <c r="C85" i="8"/>
  <c r="I84" i="8"/>
  <c r="H83" i="8"/>
  <c r="B83" i="8"/>
  <c r="B81" i="8"/>
  <c r="E78" i="8"/>
  <c r="E77" i="8"/>
  <c r="B77" i="8"/>
  <c r="C76" i="8"/>
  <c r="H73" i="8"/>
  <c r="E73" i="8"/>
  <c r="B73" i="8"/>
  <c r="B71" i="8"/>
  <c r="B69" i="8"/>
  <c r="C68" i="8"/>
  <c r="E67" i="8"/>
  <c r="B67" i="8"/>
  <c r="B65" i="8"/>
  <c r="I63" i="8"/>
  <c r="E63" i="8"/>
  <c r="B63" i="8"/>
  <c r="I62" i="8"/>
  <c r="E62" i="8"/>
  <c r="C62" i="8"/>
  <c r="H61" i="8"/>
  <c r="E61" i="8"/>
  <c r="B61" i="8"/>
  <c r="J60" i="8"/>
  <c r="B58" i="8"/>
  <c r="B54" i="8"/>
  <c r="B52" i="8"/>
  <c r="D50" i="8"/>
  <c r="B50" i="8"/>
  <c r="B49" i="8"/>
  <c r="H48" i="8"/>
  <c r="E48" i="8"/>
  <c r="C48" i="8"/>
  <c r="H47" i="8"/>
  <c r="E47" i="8"/>
  <c r="H46" i="8"/>
  <c r="E46" i="8"/>
  <c r="B46" i="8"/>
  <c r="B44" i="8"/>
  <c r="D42" i="8"/>
  <c r="B42" i="8"/>
  <c r="B39" i="8"/>
  <c r="D37" i="8"/>
  <c r="B37" i="8"/>
  <c r="B33" i="8"/>
  <c r="B31" i="8"/>
  <c r="E30" i="8"/>
  <c r="C30" i="8"/>
  <c r="E29" i="8"/>
  <c r="B29" i="8"/>
  <c r="E28" i="8"/>
  <c r="B28" i="8"/>
  <c r="B26" i="8"/>
  <c r="E24" i="8"/>
  <c r="B24" i="8"/>
  <c r="C23" i="8"/>
  <c r="E20" i="8"/>
  <c r="B20" i="8"/>
  <c r="F19" i="8"/>
  <c r="E18" i="8"/>
  <c r="B18" i="8"/>
  <c r="E17" i="8"/>
  <c r="B17" i="8"/>
  <c r="E16" i="8"/>
  <c r="B16" i="8"/>
  <c r="B14" i="8"/>
  <c r="A12" i="8"/>
  <c r="A11" i="8"/>
  <c r="A10" i="8"/>
  <c r="H9" i="8"/>
  <c r="H8" i="8"/>
  <c r="H7" i="8"/>
  <c r="A7" i="8"/>
  <c r="H6" i="8"/>
  <c r="E6" i="8"/>
  <c r="A6" i="8"/>
  <c r="H5" i="8"/>
  <c r="E5" i="8"/>
  <c r="A5" i="8"/>
  <c r="H3" i="8"/>
  <c r="E3" i="8"/>
  <c r="A3" i="8"/>
  <c r="H2" i="8"/>
  <c r="B2" i="8"/>
  <c r="I1" i="8"/>
  <c r="E158" i="4"/>
  <c r="E157" i="4"/>
  <c r="E156" i="4"/>
  <c r="E155" i="4"/>
  <c r="E154" i="4"/>
  <c r="E153" i="4"/>
  <c r="B153" i="4"/>
  <c r="A147" i="4"/>
  <c r="A146" i="4"/>
  <c r="A145" i="4"/>
  <c r="A144" i="4"/>
  <c r="A143" i="4"/>
  <c r="A142" i="4"/>
  <c r="A139" i="4"/>
  <c r="A138" i="4"/>
  <c r="A137" i="4"/>
  <c r="A136" i="4"/>
  <c r="A135" i="4"/>
  <c r="A133" i="4"/>
  <c r="A132" i="4"/>
  <c r="A129" i="4"/>
  <c r="A127" i="4"/>
  <c r="A126" i="4"/>
  <c r="A123" i="4"/>
  <c r="A121" i="4"/>
  <c r="A120" i="4"/>
  <c r="A119" i="4"/>
  <c r="A118" i="4"/>
  <c r="A115" i="4"/>
  <c r="A114" i="4"/>
  <c r="A113" i="4"/>
  <c r="A112" i="4"/>
  <c r="A111" i="4"/>
  <c r="A108" i="4"/>
  <c r="A107" i="4"/>
  <c r="A106" i="4"/>
  <c r="A105" i="4"/>
  <c r="A104" i="4"/>
  <c r="A101" i="4"/>
  <c r="A100" i="4"/>
  <c r="A99" i="4"/>
  <c r="A95" i="4"/>
  <c r="A94" i="4"/>
  <c r="A93" i="4"/>
  <c r="A92" i="4"/>
  <c r="A91" i="4"/>
  <c r="A90" i="4"/>
  <c r="A89" i="4"/>
  <c r="A88" i="4"/>
  <c r="A87" i="4"/>
  <c r="A86" i="4"/>
  <c r="A85" i="4"/>
  <c r="A84" i="4"/>
  <c r="A83" i="4"/>
  <c r="A82" i="4"/>
  <c r="A81" i="4"/>
  <c r="A80" i="4"/>
  <c r="A79" i="4"/>
  <c r="A76" i="4"/>
  <c r="A75" i="4"/>
  <c r="A74" i="4"/>
  <c r="A73" i="4"/>
  <c r="A70" i="4"/>
  <c r="A67" i="4"/>
  <c r="A66" i="4"/>
  <c r="A65" i="4"/>
  <c r="A63" i="4"/>
  <c r="A60" i="4"/>
  <c r="A54" i="4"/>
  <c r="A53" i="4"/>
  <c r="A52" i="4"/>
  <c r="A40" i="4"/>
  <c r="A39" i="4"/>
  <c r="A38" i="4"/>
  <c r="A37" i="4"/>
  <c r="A36" i="4"/>
  <c r="A35" i="4"/>
  <c r="A34" i="4"/>
  <c r="A14" i="4"/>
  <c r="A13" i="4"/>
  <c r="A12" i="4"/>
  <c r="A6" i="4"/>
  <c r="A5" i="4"/>
  <c r="A4" i="4"/>
  <c r="A3" i="4"/>
  <c r="B213" i="5"/>
  <c r="B212" i="5"/>
  <c r="B211" i="5"/>
  <c r="B210" i="5"/>
  <c r="B209" i="5"/>
  <c r="B208" i="5"/>
  <c r="B207" i="5"/>
  <c r="A206" i="5"/>
  <c r="B205" i="5"/>
  <c r="B204" i="5"/>
  <c r="B203" i="5"/>
  <c r="B202" i="5"/>
  <c r="B201" i="5"/>
  <c r="B200" i="5"/>
  <c r="B199" i="5"/>
  <c r="B198" i="5"/>
  <c r="B197" i="5"/>
  <c r="B196" i="5"/>
  <c r="B195" i="5"/>
  <c r="B194" i="5"/>
  <c r="B193" i="5"/>
  <c r="B192" i="5"/>
  <c r="B191" i="5"/>
  <c r="B190" i="5"/>
  <c r="B189" i="5"/>
  <c r="B188" i="5"/>
  <c r="B187" i="5"/>
  <c r="B186" i="5"/>
  <c r="B185" i="5"/>
  <c r="B184" i="5"/>
  <c r="B183" i="5"/>
  <c r="B181" i="5"/>
  <c r="B180" i="5"/>
  <c r="B179" i="5"/>
  <c r="B178" i="5"/>
  <c r="H177" i="5"/>
  <c r="F177" i="5"/>
  <c r="D177" i="5"/>
  <c r="B177" i="5"/>
  <c r="A168" i="5"/>
  <c r="F162" i="5"/>
  <c r="F161" i="5"/>
  <c r="B161" i="5"/>
  <c r="F160" i="5"/>
  <c r="D160" i="5"/>
  <c r="B160" i="5"/>
  <c r="B156" i="5"/>
  <c r="H155" i="5"/>
  <c r="B155" i="5"/>
  <c r="H154" i="5"/>
  <c r="B154" i="5"/>
  <c r="B145" i="5"/>
  <c r="B144" i="5"/>
  <c r="B142" i="5"/>
  <c r="I141" i="5"/>
  <c r="B141" i="5"/>
  <c r="J140" i="5"/>
  <c r="I140" i="5"/>
  <c r="B140" i="5"/>
  <c r="I139" i="5"/>
  <c r="F139" i="5"/>
  <c r="I138" i="5"/>
  <c r="B138" i="5"/>
  <c r="I137" i="5"/>
  <c r="I136" i="5"/>
  <c r="F136" i="5"/>
  <c r="B136" i="5"/>
  <c r="H135" i="5"/>
  <c r="B135" i="5"/>
  <c r="J132" i="5"/>
  <c r="G132" i="5"/>
  <c r="F132" i="5"/>
  <c r="C132" i="5"/>
  <c r="I130" i="5"/>
  <c r="F130" i="5"/>
  <c r="I129" i="5"/>
  <c r="B129" i="5"/>
  <c r="I128" i="5"/>
  <c r="G128" i="5"/>
  <c r="B128" i="5"/>
  <c r="I127" i="5"/>
  <c r="G127" i="5"/>
  <c r="E127" i="5"/>
  <c r="B127" i="5"/>
  <c r="B125" i="5"/>
  <c r="C124" i="5"/>
  <c r="B123" i="5"/>
  <c r="B122" i="5"/>
  <c r="I121" i="5"/>
  <c r="B121" i="5"/>
  <c r="I120" i="5"/>
  <c r="G120" i="5"/>
  <c r="F120" i="5"/>
  <c r="B120" i="5"/>
  <c r="I119" i="5"/>
  <c r="E119" i="5"/>
  <c r="B119" i="5"/>
  <c r="B117" i="5"/>
  <c r="C116" i="5"/>
  <c r="I115" i="5"/>
  <c r="I114" i="5"/>
  <c r="F114" i="5"/>
  <c r="C114" i="5"/>
  <c r="I113" i="5"/>
  <c r="B113" i="5"/>
  <c r="I112" i="5"/>
  <c r="F112" i="5"/>
  <c r="B112" i="5"/>
  <c r="A111" i="5"/>
  <c r="B108" i="5"/>
  <c r="C107" i="5"/>
  <c r="I106" i="5"/>
  <c r="E106" i="5"/>
  <c r="I105" i="5"/>
  <c r="I104" i="5"/>
  <c r="E104" i="5"/>
  <c r="B104" i="5"/>
  <c r="B102" i="5"/>
  <c r="B97" i="5"/>
  <c r="G96" i="5"/>
  <c r="E96" i="5"/>
  <c r="C96" i="5"/>
  <c r="G95" i="5"/>
  <c r="E95" i="5"/>
  <c r="G94" i="5"/>
  <c r="E94" i="5"/>
  <c r="G93" i="5"/>
  <c r="E93" i="5"/>
  <c r="G92" i="5"/>
  <c r="E92" i="5"/>
  <c r="G91" i="5"/>
  <c r="E91" i="5"/>
  <c r="G90" i="5"/>
  <c r="E90" i="5"/>
  <c r="I89" i="5"/>
  <c r="G89" i="5"/>
  <c r="E89" i="5"/>
  <c r="C89" i="5"/>
  <c r="B89" i="5"/>
  <c r="I88" i="5"/>
  <c r="F88" i="5"/>
  <c r="E88" i="5"/>
  <c r="C88" i="5"/>
  <c r="B88" i="5"/>
  <c r="I87" i="5"/>
  <c r="F87" i="5"/>
  <c r="E87" i="5"/>
  <c r="C87" i="5"/>
  <c r="B87" i="5"/>
  <c r="I86" i="5"/>
  <c r="F86" i="5"/>
  <c r="E86" i="5"/>
  <c r="C86" i="5"/>
  <c r="B86" i="5"/>
  <c r="B84" i="5"/>
  <c r="B82" i="5"/>
  <c r="C81" i="5"/>
  <c r="I80" i="5"/>
  <c r="E80" i="5"/>
  <c r="H79" i="5"/>
  <c r="E79" i="5"/>
  <c r="B79" i="5"/>
  <c r="B78" i="5"/>
  <c r="E76" i="5"/>
  <c r="E75" i="5"/>
  <c r="B73" i="5"/>
  <c r="C72" i="5"/>
  <c r="H69" i="5"/>
  <c r="E69" i="5"/>
  <c r="B69" i="5"/>
  <c r="B68" i="5"/>
  <c r="B66" i="5"/>
  <c r="C65" i="5"/>
  <c r="E64" i="5"/>
  <c r="B64" i="5"/>
  <c r="B62" i="5"/>
  <c r="I60" i="5"/>
  <c r="E60" i="5"/>
  <c r="B60" i="5"/>
  <c r="I59" i="5"/>
  <c r="E59" i="5"/>
  <c r="C59" i="5"/>
  <c r="H58" i="5"/>
  <c r="E58" i="5"/>
  <c r="B58" i="5"/>
  <c r="J57" i="5"/>
  <c r="B56" i="5"/>
  <c r="B53" i="5"/>
  <c r="B51" i="5"/>
  <c r="D46" i="5"/>
  <c r="B46" i="5"/>
  <c r="B45" i="5"/>
  <c r="H44" i="5"/>
  <c r="E44" i="5"/>
  <c r="C44" i="5"/>
  <c r="H43" i="5"/>
  <c r="E43" i="5"/>
  <c r="H42" i="5"/>
  <c r="E42" i="5"/>
  <c r="B42" i="5"/>
  <c r="B40" i="5"/>
  <c r="D38" i="5"/>
  <c r="B38" i="5"/>
  <c r="B35" i="5"/>
  <c r="D33" i="5"/>
  <c r="B33" i="5"/>
  <c r="B29" i="5"/>
  <c r="B27" i="5"/>
  <c r="E26" i="5"/>
  <c r="C26" i="5"/>
  <c r="E25" i="5"/>
  <c r="B25" i="5"/>
  <c r="E24" i="5"/>
  <c r="B24" i="5"/>
  <c r="B22" i="5"/>
  <c r="E20" i="5"/>
  <c r="B20" i="5"/>
  <c r="C19" i="5"/>
  <c r="E18" i="5"/>
  <c r="B18" i="5"/>
  <c r="E17" i="5"/>
  <c r="B17" i="5"/>
  <c r="E16" i="5"/>
  <c r="B16" i="5"/>
  <c r="E15" i="5"/>
  <c r="B15" i="5"/>
  <c r="B13" i="5"/>
  <c r="A12" i="5"/>
  <c r="A11" i="5"/>
  <c r="A10" i="5"/>
  <c r="H9" i="5"/>
  <c r="H8" i="5"/>
  <c r="H7" i="5"/>
  <c r="A7" i="5"/>
  <c r="H6" i="5"/>
  <c r="E6" i="5"/>
  <c r="A6" i="5"/>
  <c r="H5" i="5"/>
  <c r="E5" i="5"/>
  <c r="A5" i="5"/>
  <c r="H3" i="5"/>
  <c r="E3" i="5"/>
  <c r="A3" i="5"/>
  <c r="H2" i="5"/>
  <c r="B2" i="5"/>
  <c r="I1" i="5"/>
  <c r="E161" i="2"/>
  <c r="B161" i="2"/>
  <c r="E160" i="2"/>
  <c r="B160" i="2"/>
  <c r="E159" i="2"/>
  <c r="B159" i="2"/>
  <c r="E158" i="2"/>
  <c r="B158" i="2"/>
  <c r="E157" i="2"/>
  <c r="B157" i="2"/>
  <c r="E156" i="2"/>
  <c r="B156" i="2"/>
  <c r="A150" i="2"/>
  <c r="A149" i="2"/>
  <c r="A148" i="2"/>
  <c r="A147" i="2"/>
  <c r="A146" i="2"/>
  <c r="A145" i="2"/>
  <c r="A142" i="2"/>
  <c r="A141" i="2"/>
  <c r="A140" i="2"/>
  <c r="A139" i="2"/>
  <c r="A138" i="2"/>
  <c r="A136" i="2"/>
  <c r="A135" i="2"/>
  <c r="A132" i="2"/>
  <c r="A128" i="2"/>
  <c r="A127" i="2"/>
  <c r="A124" i="2"/>
  <c r="A122" i="2"/>
  <c r="A121" i="2"/>
  <c r="A120" i="2"/>
  <c r="A119" i="2"/>
  <c r="A116" i="2"/>
  <c r="A115" i="2"/>
  <c r="A114" i="2"/>
  <c r="A113" i="2"/>
  <c r="A112" i="2"/>
  <c r="A109" i="2"/>
  <c r="A108" i="2"/>
  <c r="A107" i="2"/>
  <c r="A106" i="2"/>
  <c r="A105" i="2"/>
  <c r="A102" i="2"/>
  <c r="A101" i="2"/>
  <c r="A100" i="2"/>
  <c r="A96" i="2"/>
  <c r="A95" i="2"/>
  <c r="A94" i="2"/>
  <c r="A93" i="2"/>
  <c r="A92" i="2"/>
  <c r="A91" i="2"/>
  <c r="A90" i="2"/>
  <c r="A89" i="2"/>
  <c r="A88" i="2"/>
  <c r="A87" i="2"/>
  <c r="A86" i="2"/>
  <c r="A85" i="2"/>
  <c r="A84" i="2"/>
  <c r="A83" i="2"/>
  <c r="A82" i="2"/>
  <c r="A81" i="2"/>
  <c r="A80" i="2"/>
  <c r="A77" i="2"/>
  <c r="A76" i="2"/>
  <c r="A75" i="2"/>
  <c r="A74" i="2"/>
  <c r="A71" i="2"/>
  <c r="A70" i="2"/>
  <c r="A68" i="2"/>
  <c r="A67" i="2"/>
  <c r="A66" i="2"/>
  <c r="A65" i="2"/>
  <c r="A64" i="2"/>
  <c r="A61" i="2"/>
  <c r="A55" i="2"/>
  <c r="A54" i="2"/>
  <c r="A53" i="2"/>
  <c r="A41" i="2"/>
  <c r="A40" i="2"/>
  <c r="A39" i="2"/>
  <c r="A38" i="2"/>
  <c r="A37" i="2"/>
  <c r="A36" i="2"/>
  <c r="A35" i="2"/>
  <c r="A14" i="2"/>
  <c r="A13" i="2"/>
  <c r="A12" i="2"/>
  <c r="A9" i="2"/>
  <c r="A8" i="2"/>
  <c r="A7" i="2"/>
  <c r="A6" i="2"/>
  <c r="A5" i="2"/>
  <c r="A4" i="2"/>
  <c r="A3" i="2"/>
  <c r="G3" i="2" s="1" a="1"/>
  <c r="G3" i="2" s="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D182" i="1"/>
  <c r="B181" i="1"/>
  <c r="B180" i="1"/>
  <c r="B179" i="1"/>
  <c r="B178" i="1"/>
  <c r="B177" i="1"/>
  <c r="H176" i="1"/>
  <c r="B176" i="1"/>
  <c r="A167" i="1"/>
  <c r="F161" i="1"/>
  <c r="F160" i="1"/>
  <c r="B160" i="1"/>
  <c r="F159" i="1"/>
  <c r="D159" i="1"/>
  <c r="B159" i="1"/>
  <c r="B155" i="1"/>
  <c r="F154" i="1"/>
  <c r="B154" i="1"/>
  <c r="F153" i="1"/>
  <c r="B153" i="1"/>
  <c r="A151" i="1"/>
  <c r="B147" i="1"/>
  <c r="B146" i="1"/>
  <c r="E144" i="1"/>
  <c r="B144" i="1"/>
  <c r="I143" i="1"/>
  <c r="F143" i="1"/>
  <c r="B143" i="1"/>
  <c r="J142" i="1"/>
  <c r="I142" i="1"/>
  <c r="E142" i="1"/>
  <c r="B142" i="1"/>
  <c r="I141" i="1"/>
  <c r="F141" i="1"/>
  <c r="I140" i="1"/>
  <c r="B140" i="1"/>
  <c r="I139" i="1"/>
  <c r="F138" i="1"/>
  <c r="B138" i="1"/>
  <c r="H137" i="1"/>
  <c r="F137" i="1"/>
  <c r="B137" i="1"/>
  <c r="J134" i="1"/>
  <c r="G134" i="1"/>
  <c r="F134" i="1"/>
  <c r="C134" i="1"/>
  <c r="I132" i="1"/>
  <c r="I131" i="1"/>
  <c r="B131" i="1"/>
  <c r="I130" i="1"/>
  <c r="G130" i="1"/>
  <c r="B130" i="1"/>
  <c r="I129" i="1"/>
  <c r="F129" i="1"/>
  <c r="E129" i="1"/>
  <c r="B129" i="1"/>
  <c r="B127" i="1"/>
  <c r="C126" i="1"/>
  <c r="B125" i="1"/>
  <c r="B124" i="1"/>
  <c r="I123" i="1"/>
  <c r="F123" i="1"/>
  <c r="B123" i="1"/>
  <c r="I122" i="1"/>
  <c r="F122" i="1"/>
  <c r="B122" i="1"/>
  <c r="I121" i="1"/>
  <c r="E121" i="1"/>
  <c r="B121" i="1"/>
  <c r="B119" i="1"/>
  <c r="C118" i="1"/>
  <c r="I117" i="1"/>
  <c r="I116" i="1"/>
  <c r="F116" i="1"/>
  <c r="C116" i="1"/>
  <c r="I115" i="1"/>
  <c r="F115" i="1"/>
  <c r="B115" i="1"/>
  <c r="I114" i="1"/>
  <c r="F114" i="1"/>
  <c r="B114" i="1"/>
  <c r="A113" i="1"/>
  <c r="B109" i="1"/>
  <c r="C108" i="1"/>
  <c r="I107" i="1"/>
  <c r="E107" i="1"/>
  <c r="I106" i="1"/>
  <c r="I105" i="1"/>
  <c r="E105" i="1"/>
  <c r="B105" i="1"/>
  <c r="B103" i="1"/>
  <c r="B101" i="1"/>
  <c r="G100" i="1"/>
  <c r="E100" i="1"/>
  <c r="C100" i="1"/>
  <c r="G99" i="1"/>
  <c r="E99" i="1"/>
  <c r="G98" i="1"/>
  <c r="E98" i="1"/>
  <c r="G97" i="1"/>
  <c r="E97" i="1"/>
  <c r="G96" i="1"/>
  <c r="E96" i="1"/>
  <c r="G95" i="1"/>
  <c r="E95" i="1"/>
  <c r="G94" i="1"/>
  <c r="E94" i="1"/>
  <c r="I93" i="1"/>
  <c r="G93" i="1"/>
  <c r="E93" i="1"/>
  <c r="C93" i="1"/>
  <c r="B93" i="1"/>
  <c r="I92" i="1"/>
  <c r="F92" i="1"/>
  <c r="E92" i="1"/>
  <c r="C92" i="1"/>
  <c r="B92" i="1"/>
  <c r="I91" i="1"/>
  <c r="F91" i="1"/>
  <c r="E91" i="1"/>
  <c r="C91" i="1"/>
  <c r="B91" i="1"/>
  <c r="H90" i="1"/>
  <c r="F90" i="1"/>
  <c r="E90" i="1"/>
  <c r="C90" i="1"/>
  <c r="B90" i="1"/>
  <c r="B88" i="1"/>
  <c r="B86" i="1"/>
  <c r="C85" i="1"/>
  <c r="I84" i="1"/>
  <c r="E84" i="1"/>
  <c r="H83" i="1"/>
  <c r="E83" i="1"/>
  <c r="B83" i="1"/>
  <c r="B81" i="1"/>
  <c r="E80" i="1"/>
  <c r="E79" i="1"/>
  <c r="E78" i="1"/>
  <c r="E77" i="1"/>
  <c r="B77" i="1"/>
  <c r="C76" i="1"/>
  <c r="B76" i="1"/>
  <c r="E75" i="1"/>
  <c r="B75" i="1"/>
  <c r="E74" i="1"/>
  <c r="H73" i="1"/>
  <c r="E73" i="1"/>
  <c r="B73" i="1"/>
  <c r="B71" i="1"/>
  <c r="B69" i="1"/>
  <c r="C68" i="1"/>
  <c r="B65" i="1"/>
  <c r="I63" i="1"/>
  <c r="E63" i="1"/>
  <c r="B63" i="1"/>
  <c r="I62" i="1"/>
  <c r="E62" i="1"/>
  <c r="C62" i="1"/>
  <c r="H61" i="1"/>
  <c r="E61" i="1"/>
  <c r="B61" i="1"/>
  <c r="J60" i="1"/>
  <c r="B58" i="1"/>
  <c r="B54" i="1"/>
  <c r="B52" i="1"/>
  <c r="D50" i="1"/>
  <c r="B50" i="1"/>
  <c r="B49" i="1"/>
  <c r="H48" i="1"/>
  <c r="E48" i="1"/>
  <c r="C48" i="1"/>
  <c r="H47" i="1"/>
  <c r="E47" i="1"/>
  <c r="H46" i="1"/>
  <c r="E46" i="1"/>
  <c r="B46" i="1"/>
  <c r="B44" i="1"/>
  <c r="D42" i="1"/>
  <c r="B42" i="1"/>
  <c r="B39" i="1"/>
  <c r="D37" i="1"/>
  <c r="B37" i="1"/>
  <c r="B33" i="1"/>
  <c r="B31" i="1"/>
  <c r="E30" i="1"/>
  <c r="C30" i="1"/>
  <c r="E29" i="1"/>
  <c r="B29" i="1"/>
  <c r="E28" i="1"/>
  <c r="B28" i="1"/>
  <c r="B26" i="1"/>
  <c r="E24" i="1"/>
  <c r="B24" i="1"/>
  <c r="C23" i="1"/>
  <c r="D22" i="1"/>
  <c r="B22" i="1"/>
  <c r="D21" i="1"/>
  <c r="B21" i="1"/>
  <c r="D20" i="1"/>
  <c r="B20" i="1"/>
  <c r="D19" i="1"/>
  <c r="B19" i="1"/>
  <c r="D18" i="1"/>
  <c r="B18" i="1"/>
  <c r="D17" i="1"/>
  <c r="B17" i="1"/>
  <c r="B16" i="1"/>
  <c r="B14" i="1"/>
  <c r="A12" i="1"/>
  <c r="A11" i="1"/>
  <c r="A10" i="1"/>
  <c r="H9" i="1"/>
  <c r="H8" i="1"/>
  <c r="H7" i="1"/>
  <c r="A7" i="1"/>
  <c r="H6" i="1"/>
  <c r="E6" i="1"/>
  <c r="A6" i="1"/>
  <c r="H5" i="1"/>
  <c r="E5" i="1"/>
  <c r="A5" i="1"/>
  <c r="H3" i="1"/>
  <c r="E3" i="1"/>
  <c r="B3" i="1"/>
  <c r="A3" i="1"/>
  <c r="H2" i="1"/>
  <c r="B2" i="1"/>
  <c r="I1" i="1"/>
  <c r="I4" i="7"/>
  <c r="F4" i="7"/>
  <c r="B4" i="7"/>
  <c r="E3" i="7"/>
  <c r="B146" i="9" a="1"/>
  <c r="B146" i="9" s="1"/>
  <c r="B145" i="9" a="1"/>
  <c r="B145" i="9" s="1"/>
  <c r="D146" i="9" a="1"/>
  <c r="D146" i="9" s="1"/>
  <c r="H202" i="8" s="1"/>
  <c r="D145" i="9" a="1"/>
  <c r="D145" i="9" s="1"/>
  <c r="H201" i="8" s="1"/>
  <c r="D143" i="9" a="1"/>
  <c r="D143" i="9" s="1"/>
  <c r="H199" i="8" s="1"/>
  <c r="G134" i="9" a="1"/>
  <c r="G134" i="9" s="1"/>
  <c r="G135" i="9" a="1"/>
  <c r="G135" i="9" s="1"/>
  <c r="G106" i="9" a="1"/>
  <c r="G106" i="9" s="1"/>
  <c r="G89" i="9" a="1"/>
  <c r="G89" i="9" s="1"/>
  <c r="G40" i="9" a="1"/>
  <c r="G40" i="9" s="1"/>
  <c r="D43" i="9" s="1"/>
  <c r="H182" i="8" s="1"/>
  <c r="H181" i="8"/>
  <c r="G72" i="9" a="1"/>
  <c r="G72" i="9" s="1"/>
  <c r="D188" i="8" s="1"/>
  <c r="H180" i="8"/>
  <c r="D144" i="9" a="1"/>
  <c r="D144" i="9" s="1"/>
  <c r="H200" i="8" s="1"/>
  <c r="D147" i="9" a="1"/>
  <c r="D147" i="9" s="1"/>
  <c r="H203" i="8" s="1"/>
  <c r="D148" i="9" a="1"/>
  <c r="D148" i="9" s="1"/>
  <c r="H204" i="8" s="1"/>
  <c r="G138" i="9" a="1"/>
  <c r="G138" i="9" s="1"/>
  <c r="G141" i="9" a="1"/>
  <c r="G141" i="9" s="1"/>
  <c r="D141" i="9" s="1"/>
  <c r="H207" i="8" s="1"/>
  <c r="H134" i="9" a="1"/>
  <c r="H134" i="9" s="1"/>
  <c r="E134" i="9" s="1"/>
  <c r="H133" i="9" a="1"/>
  <c r="H133" i="9" s="1"/>
  <c r="J134" i="9" a="1"/>
  <c r="J134" i="9" s="1"/>
  <c r="J135" i="9" a="1"/>
  <c r="J135" i="9" s="1"/>
  <c r="D131" i="9" a="1"/>
  <c r="D131" i="9" s="1"/>
  <c r="H197" i="8" s="1"/>
  <c r="G126" i="9" a="1"/>
  <c r="G126" i="9" s="1"/>
  <c r="D129" i="9" s="1"/>
  <c r="H196" i="8" s="1"/>
  <c r="D125" i="9" a="1"/>
  <c r="D125" i="9" s="1"/>
  <c r="H195" i="8" s="1"/>
  <c r="B125" i="9" a="1"/>
  <c r="B125" i="9" s="1"/>
  <c r="G122" i="9" a="1"/>
  <c r="G122" i="9" s="1"/>
  <c r="D123" i="9" s="1"/>
  <c r="H194" i="8" s="1"/>
  <c r="G115" i="9" a="1"/>
  <c r="G115" i="9" s="1"/>
  <c r="E116" i="9" s="1"/>
  <c r="G114" i="9" a="1"/>
  <c r="G114" i="9" s="1"/>
  <c r="E115" i="9" s="1"/>
  <c r="G113" i="9" a="1"/>
  <c r="G113" i="9" s="1"/>
  <c r="E114" i="9" s="1"/>
  <c r="G112" i="9" a="1"/>
  <c r="G112" i="9" s="1"/>
  <c r="G91" i="9" a="1"/>
  <c r="G91" i="9" s="1"/>
  <c r="E112" i="9" s="1"/>
  <c r="J109" i="9" a="1"/>
  <c r="J109" i="9" s="1"/>
  <c r="G116" i="9" a="1"/>
  <c r="G116" i="9" s="1"/>
  <c r="D117" i="9" s="1"/>
  <c r="H193" i="8" s="1"/>
  <c r="I102" i="9" a="1"/>
  <c r="I102" i="9" s="1"/>
  <c r="G102" i="9" s="1"/>
  <c r="E103" i="9" s="1" a="1"/>
  <c r="E103" i="9" s="1"/>
  <c r="D103" i="9" a="1"/>
  <c r="D103" i="9" s="1"/>
  <c r="H205" i="8" s="1"/>
  <c r="E100" i="9"/>
  <c r="D100" i="9" s="1"/>
  <c r="D102" i="9"/>
  <c r="D101" i="9"/>
  <c r="D96" i="9"/>
  <c r="D94" i="9"/>
  <c r="D93" i="9"/>
  <c r="D92" i="9"/>
  <c r="D91" i="9"/>
  <c r="D90" i="9"/>
  <c r="D89" i="9"/>
  <c r="D88" i="9"/>
  <c r="D87" i="9"/>
  <c r="D86" i="9"/>
  <c r="D85" i="9"/>
  <c r="D84" i="9"/>
  <c r="D83" i="9"/>
  <c r="D82" i="9"/>
  <c r="D81" i="9"/>
  <c r="D80" i="9"/>
  <c r="G74" i="9" a="1"/>
  <c r="G74" i="9" s="1"/>
  <c r="D78" i="9" s="1"/>
  <c r="H189" i="8" s="1"/>
  <c r="D71" i="9" a="1"/>
  <c r="D71" i="9" s="1"/>
  <c r="H188" i="8" s="1"/>
  <c r="B71" i="9" a="1"/>
  <c r="B71" i="9" s="1"/>
  <c r="G67" i="9" a="1"/>
  <c r="G67" i="9" s="1"/>
  <c r="D69" i="9" s="1"/>
  <c r="H187" i="8" s="1"/>
  <c r="G61" i="9" a="1"/>
  <c r="G61" i="9" s="1"/>
  <c r="E62" i="9" s="1"/>
  <c r="G60" i="9" a="1"/>
  <c r="G60" i="9" s="1"/>
  <c r="G59" i="9" a="1"/>
  <c r="G59" i="9" s="1"/>
  <c r="G51" i="9" a="1"/>
  <c r="G51" i="9" s="1"/>
  <c r="D56" i="9" s="1"/>
  <c r="H185" i="8" s="1"/>
  <c r="G7" i="9" a="1"/>
  <c r="G7" i="9" s="1"/>
  <c r="D10" i="9" s="1"/>
  <c r="H178" i="8" s="1"/>
  <c r="G65" i="4" a="1"/>
  <c r="G65" i="4" s="1"/>
  <c r="G125" i="4" a="1"/>
  <c r="G125" i="4" s="1"/>
  <c r="D124" i="4" a="1"/>
  <c r="D124" i="4" s="1"/>
  <c r="G121" i="4" a="1"/>
  <c r="G121" i="4" s="1"/>
  <c r="G115" i="4" a="1"/>
  <c r="G115" i="4" s="1"/>
  <c r="G73" i="4" a="1"/>
  <c r="G73" i="4" s="1"/>
  <c r="G64" i="4" a="1"/>
  <c r="G64" i="4" s="1"/>
  <c r="H52" i="4" a="1"/>
  <c r="H52" i="4" s="1"/>
  <c r="D145" i="4" a="1"/>
  <c r="D145" i="4" s="1"/>
  <c r="H202" i="5" s="1"/>
  <c r="B144" i="4" a="1"/>
  <c r="B144" i="4" s="1"/>
  <c r="B145" i="4" a="1"/>
  <c r="B145" i="4" s="1"/>
  <c r="D147" i="4" a="1"/>
  <c r="D147" i="4" s="1"/>
  <c r="H204" i="5" s="1"/>
  <c r="D146" i="4" a="1"/>
  <c r="D146" i="4" s="1"/>
  <c r="H203" i="5" s="1"/>
  <c r="D144" i="4" a="1"/>
  <c r="D144" i="4" s="1"/>
  <c r="H201" i="5" s="1"/>
  <c r="D143" i="4" a="1"/>
  <c r="D143" i="4" s="1"/>
  <c r="H200" i="5" s="1"/>
  <c r="D142" i="4" a="1"/>
  <c r="D142" i="4" s="1"/>
  <c r="I150" i="2" a="1"/>
  <c r="I150" i="2" s="1"/>
  <c r="I149" i="2" a="1"/>
  <c r="I149" i="2" s="1"/>
  <c r="I148" i="2" a="1"/>
  <c r="I148" i="2" s="1"/>
  <c r="I147" i="2" a="1"/>
  <c r="I147" i="2" s="1"/>
  <c r="I146" i="2" a="1"/>
  <c r="I146" i="2" s="1"/>
  <c r="I145" i="2" a="1"/>
  <c r="I145" i="2" s="1"/>
  <c r="D62" i="9" l="1"/>
  <c r="H186" i="8" s="1"/>
  <c r="D97" i="9"/>
  <c r="H190" i="8" s="1"/>
  <c r="D110" i="9"/>
  <c r="H191" i="8" s="1"/>
  <c r="H199" i="5"/>
  <c r="G129" i="4" a="1"/>
  <c r="G129" i="4" s="1"/>
  <c r="D197" i="5" s="1"/>
  <c r="G69" i="4" a="1"/>
  <c r="G69" i="4" s="1"/>
  <c r="D188" i="5" s="1"/>
  <c r="H181" i="5"/>
  <c r="H180" i="5"/>
  <c r="H179" i="5"/>
  <c r="G99" i="4" a="1"/>
  <c r="G99" i="4" s="1"/>
  <c r="D102" i="4" s="1"/>
  <c r="H205" i="5" s="1"/>
  <c r="G142" i="2" a="1"/>
  <c r="G142" i="2" s="1"/>
  <c r="G140" i="4" a="1"/>
  <c r="G140" i="4" s="1"/>
  <c r="D140" i="4" s="1"/>
  <c r="H207" i="5" s="1"/>
  <c r="G141" i="4" a="1"/>
  <c r="G141" i="4" s="1"/>
  <c r="G143" i="2" a="1"/>
  <c r="G143" i="2" s="1"/>
  <c r="H133" i="4" a="1"/>
  <c r="H133" i="4" s="1"/>
  <c r="D134" i="4" s="1"/>
  <c r="H198" i="5" s="1"/>
  <c r="D130" i="4" a="1"/>
  <c r="D130" i="4" s="1"/>
  <c r="H197" i="5" s="1"/>
  <c r="D128" i="4"/>
  <c r="H196" i="5" s="1"/>
  <c r="B124" i="4" a="1"/>
  <c r="B124" i="4" s="1"/>
  <c r="H195" i="5"/>
  <c r="G124" i="4" a="1"/>
  <c r="G124" i="4" s="1"/>
  <c r="D195" i="5" s="1"/>
  <c r="D122" i="4"/>
  <c r="H194" i="5" s="1"/>
  <c r="D116" i="4"/>
  <c r="H193" i="5" s="1"/>
  <c r="G105" i="4" a="1"/>
  <c r="G105" i="4" s="1"/>
  <c r="D109" i="4" s="1"/>
  <c r="H191" i="5" s="1"/>
  <c r="D101" i="4"/>
  <c r="D100" i="4"/>
  <c r="D99" i="4"/>
  <c r="G88" i="4" l="1" a="1"/>
  <c r="G88" i="4" s="1"/>
  <c r="D96" i="4" s="1"/>
  <c r="H190" i="5" s="1"/>
  <c r="D96" i="2"/>
  <c r="D80" i="4"/>
  <c r="D81" i="4"/>
  <c r="D82" i="4"/>
  <c r="D83" i="4"/>
  <c r="D84" i="4"/>
  <c r="D85" i="4"/>
  <c r="D86" i="4"/>
  <c r="D87" i="4"/>
  <c r="D88" i="4"/>
  <c r="D89" i="4"/>
  <c r="D90" i="4"/>
  <c r="D91" i="4"/>
  <c r="D92" i="4"/>
  <c r="D93" i="4"/>
  <c r="D95" i="4"/>
  <c r="D79" i="4"/>
  <c r="D80" i="2"/>
  <c r="D77" i="4"/>
  <c r="H189" i="5" s="1"/>
  <c r="D70" i="4" a="1"/>
  <c r="D70" i="4" s="1"/>
  <c r="H188" i="5" s="1"/>
  <c r="D68" i="4"/>
  <c r="H187" i="5" s="1"/>
  <c r="G59" i="4" a="1"/>
  <c r="G59" i="4" s="1"/>
  <c r="D61" i="4" s="1"/>
  <c r="D55" i="4"/>
  <c r="H185" i="5" s="1"/>
  <c r="D54" i="4"/>
  <c r="G39" i="4" a="1"/>
  <c r="G39" i="4" s="1"/>
  <c r="D42" i="4" s="1"/>
  <c r="H182" i="5" s="1"/>
  <c r="G7" i="4" a="1"/>
  <c r="G7" i="4" s="1"/>
  <c r="D10" i="4" s="1"/>
  <c r="H178" i="5" s="1"/>
  <c r="G125" i="2" a="1"/>
  <c r="G125" i="2" s="1"/>
  <c r="G202" i="1"/>
  <c r="D145" i="2" a="1"/>
  <c r="D145" i="2" s="1"/>
  <c r="H199" i="1" s="1"/>
  <c r="D133" i="2" a="1"/>
  <c r="D133" i="2" s="1"/>
  <c r="H197" i="1" s="1"/>
  <c r="B125" i="2" a="1"/>
  <c r="B125" i="2" s="1"/>
  <c r="D125" i="2" a="1"/>
  <c r="D125" i="2" s="1"/>
  <c r="H195" i="1" s="1"/>
  <c r="G116" i="2" a="1"/>
  <c r="G116" i="2" s="1"/>
  <c r="G136" i="2" a="1"/>
  <c r="G136" i="2" s="1"/>
  <c r="G63" i="2" a="1"/>
  <c r="G63" i="2" s="1"/>
  <c r="E64" i="2" s="1"/>
  <c r="F64" i="2" s="1"/>
  <c r="D64" i="2" s="1"/>
  <c r="G65" i="2" s="1" a="1"/>
  <c r="G65" i="2" s="1"/>
  <c r="G71" i="2" a="1"/>
  <c r="G71" i="2" s="1"/>
  <c r="D188" i="1" s="1"/>
  <c r="D71" i="2" a="1"/>
  <c r="D71" i="2" s="1"/>
  <c r="H188" i="1" s="1"/>
  <c r="G70" i="2" a="1"/>
  <c r="G70" i="2" s="1"/>
  <c r="D187" i="1" s="1"/>
  <c r="D70" i="2" a="1"/>
  <c r="D70" i="2" s="1"/>
  <c r="H187" i="1" s="1"/>
  <c r="G122" i="2" a="1"/>
  <c r="G122" i="2" s="1"/>
  <c r="G62" i="2" a="1"/>
  <c r="G62" i="2" s="1"/>
  <c r="D62" i="2" s="1"/>
  <c r="H185" i="1" s="1"/>
  <c r="D150" i="2" a="1"/>
  <c r="D150" i="2" s="1"/>
  <c r="H204" i="1" s="1"/>
  <c r="D149" i="2" a="1"/>
  <c r="D149" i="2" s="1"/>
  <c r="H203" i="1" s="1"/>
  <c r="D148" i="2" a="1"/>
  <c r="D148" i="2" s="1"/>
  <c r="H202" i="1" s="1"/>
  <c r="D147" i="2" a="1"/>
  <c r="D147" i="2" s="1"/>
  <c r="H201" i="1" s="1"/>
  <c r="D146" i="2" a="1"/>
  <c r="D146" i="2" s="1"/>
  <c r="H200" i="1" s="1"/>
  <c r="B148" i="2" a="1"/>
  <c r="B148" i="2" s="1"/>
  <c r="B147" i="2" a="1"/>
  <c r="B147" i="2" s="1"/>
  <c r="B145" i="2" a="1"/>
  <c r="B145" i="2" s="1"/>
  <c r="G100" i="2" a="1"/>
  <c r="G100" i="2" s="1"/>
  <c r="D103" i="2" s="1"/>
  <c r="H205" i="1" s="1"/>
  <c r="G106" i="2" a="1"/>
  <c r="G106" i="2" s="1"/>
  <c r="D110" i="2" s="1"/>
  <c r="H191" i="1" s="1"/>
  <c r="G74" i="2" a="1"/>
  <c r="G74" i="2" s="1"/>
  <c r="D101" i="2"/>
  <c r="D102" i="2"/>
  <c r="E100" i="2"/>
  <c r="D100" i="2" s="1"/>
  <c r="D94" i="2"/>
  <c r="D81" i="2"/>
  <c r="D82" i="2"/>
  <c r="D83" i="2"/>
  <c r="D84" i="2"/>
  <c r="D85" i="2"/>
  <c r="D86" i="2"/>
  <c r="D87" i="2"/>
  <c r="D88" i="2"/>
  <c r="D89" i="2"/>
  <c r="D90" i="2"/>
  <c r="D91" i="2"/>
  <c r="D92" i="2"/>
  <c r="D93" i="2"/>
  <c r="H53" i="2" a="1"/>
  <c r="H53" i="2" s="1"/>
  <c r="D149" i="4" l="1"/>
  <c r="I2" i="5" s="1"/>
  <c r="H186" i="5"/>
  <c r="H208" i="5" s="1"/>
  <c r="D137" i="2"/>
  <c r="H198" i="1" s="1"/>
  <c r="D131" i="2"/>
  <c r="H196" i="1" s="1"/>
  <c r="D123" i="2"/>
  <c r="H194" i="1" s="1"/>
  <c r="D69" i="2"/>
  <c r="H186" i="1" s="1"/>
  <c r="G58" i="2" a="1"/>
  <c r="G58" i="2" s="1"/>
  <c r="D56" i="2"/>
  <c r="H184" i="1" s="1"/>
  <c r="G40" i="2" a="1"/>
  <c r="G40" i="2" s="1"/>
  <c r="D43" i="2" s="1"/>
  <c r="H181" i="1" s="1"/>
  <c r="G7" i="2" a="1"/>
  <c r="G7" i="2" s="1"/>
  <c r="D10" i="2" s="1"/>
  <c r="H177" i="1" s="1"/>
  <c r="G136" i="4" l="1" a="1"/>
  <c r="G136" i="4" s="1"/>
  <c r="G104" i="4" a="1"/>
  <c r="G104" i="4" s="1"/>
  <c r="G84" i="4" a="1"/>
  <c r="G84" i="4" s="1"/>
  <c r="G72" i="4" a="1"/>
  <c r="G72" i="4" s="1"/>
  <c r="G51" i="4" a="1"/>
  <c r="G51" i="4" s="1"/>
  <c r="G34" i="4" a="1"/>
  <c r="G34" i="4" s="1"/>
  <c r="G129" i="9" a="1"/>
  <c r="G129" i="9" s="1"/>
  <c r="I147" i="9" a="1"/>
  <c r="I147" i="9" s="1"/>
  <c r="I146" i="9" a="1"/>
  <c r="I146" i="9" s="1"/>
  <c r="I145" i="9" a="1"/>
  <c r="I145" i="9" s="1"/>
  <c r="I144" i="9" a="1"/>
  <c r="I144" i="9" s="1"/>
  <c r="I103" i="9" a="1"/>
  <c r="I103" i="9" s="1"/>
  <c r="I143" i="9" a="1"/>
  <c r="I143" i="9" s="1"/>
  <c r="G109" i="9" a="1"/>
  <c r="G109" i="9" s="1"/>
  <c r="G120" i="4" a="1"/>
  <c r="G120" i="4" s="1"/>
  <c r="G147" i="4" a="1"/>
  <c r="G147" i="4" s="1"/>
  <c r="G146" i="4" a="1"/>
  <c r="G146" i="4" s="1"/>
  <c r="G145" i="4" a="1"/>
  <c r="G145" i="4" s="1"/>
  <c r="G144" i="4" a="1"/>
  <c r="G144" i="4" s="1"/>
  <c r="G143" i="4" a="1"/>
  <c r="G143" i="4" s="1"/>
  <c r="G142" i="4" a="1"/>
  <c r="G142" i="4" s="1"/>
  <c r="G63" i="4" a="1"/>
  <c r="G63" i="4" s="1"/>
  <c r="G60" i="4" a="1"/>
  <c r="G60" i="4" s="1"/>
  <c r="G58" i="4" a="1"/>
  <c r="G58" i="4" s="1"/>
  <c r="G57" i="4" a="1"/>
  <c r="G57" i="4" s="1"/>
  <c r="J68" i="4" a="1"/>
  <c r="J68" i="4" s="1"/>
  <c r="E65" i="4" s="1"/>
  <c r="J24" i="4" a="1"/>
  <c r="J24" i="4" s="1"/>
  <c r="G119" i="4" a="1"/>
  <c r="G119" i="4" s="1"/>
  <c r="G130" i="4" a="1"/>
  <c r="G130" i="4" s="1"/>
  <c r="B134" i="4" s="1"/>
  <c r="G116" i="4" a="1"/>
  <c r="G116" i="4" s="1"/>
  <c r="G98" i="4" a="1"/>
  <c r="G98" i="4" s="1"/>
  <c r="G118" i="4" a="1"/>
  <c r="G118" i="4" s="1"/>
  <c r="G111" i="4" a="1"/>
  <c r="G111" i="4" s="1"/>
  <c r="G110" i="4" a="1"/>
  <c r="G110" i="4" s="1"/>
  <c r="G140" i="2" l="1" a="1"/>
  <c r="G140" i="2" s="1"/>
  <c r="G101" i="2" a="1"/>
  <c r="G101" i="2" s="1"/>
  <c r="G133" i="2" a="1"/>
  <c r="G133" i="2" s="1"/>
  <c r="D210" i="5"/>
  <c r="D209" i="5"/>
  <c r="D210" i="1"/>
  <c r="G137" i="2" l="1" a="1"/>
  <c r="G137" i="2" s="1"/>
  <c r="D206" i="1" s="1"/>
  <c r="I103" i="2" a="1"/>
  <c r="I103" i="2" s="1"/>
  <c r="H135" i="2" a="1"/>
  <c r="H135" i="2" s="1"/>
  <c r="H134" i="2" a="1"/>
  <c r="H134" i="2" s="1"/>
  <c r="I148" i="9" a="1"/>
  <c r="I148" i="9" s="1"/>
  <c r="G85" i="9" a="1"/>
  <c r="G85" i="9" s="1"/>
  <c r="G87" i="9" a="1"/>
  <c r="G87" i="9" s="1"/>
  <c r="G101" i="9"/>
  <c r="G94" i="9" a="1"/>
  <c r="G94" i="9" s="1"/>
  <c r="G131" i="9" a="1"/>
  <c r="G131" i="9" s="1"/>
  <c r="G125" i="9" a="1"/>
  <c r="G125" i="9" s="1"/>
  <c r="D213" i="8" a="1"/>
  <c r="D213" i="8" s="1"/>
  <c r="G134" i="4" a="1"/>
  <c r="G134" i="4" s="1"/>
  <c r="G127" i="4" a="1"/>
  <c r="G127" i="4" s="1"/>
  <c r="D213" i="5" a="1"/>
  <c r="D213" i="5" s="1"/>
  <c r="G87" i="2" a="1"/>
  <c r="G87" i="2" s="1"/>
  <c r="G91" i="2" a="1"/>
  <c r="G91" i="2" s="1"/>
  <c r="G85" i="2" a="1"/>
  <c r="G85" i="2" s="1"/>
  <c r="D213" i="1" a="1"/>
  <c r="D213" i="1" s="1"/>
  <c r="I73" i="9" l="1" a="1"/>
  <c r="I73" i="9" s="1"/>
  <c r="H70" i="9" s="1"/>
  <c r="G64" i="9" a="1"/>
  <c r="G64" i="9" s="1"/>
  <c r="D187" i="8" s="1"/>
  <c r="G66" i="9" a="1"/>
  <c r="G66" i="9" s="1"/>
  <c r="B69" i="9" s="1"/>
  <c r="I68" i="9" a="1"/>
  <c r="I68" i="9" s="1"/>
  <c r="E64" i="9" s="1"/>
  <c r="J24" i="9" a="1"/>
  <c r="J24" i="9" s="1"/>
  <c r="G24" i="9" a="1"/>
  <c r="G24" i="9" s="1"/>
  <c r="G63" i="9" a="1"/>
  <c r="G63" i="9" s="1"/>
  <c r="G38" i="9" a="1"/>
  <c r="G38" i="9" s="1"/>
  <c r="B43" i="9" s="1"/>
  <c r="G28" i="9" a="1"/>
  <c r="G28" i="9" s="1"/>
  <c r="B33" i="9" s="1"/>
  <c r="B3" i="9" a="1"/>
  <c r="B3" i="9" s="1"/>
  <c r="F155" i="1"/>
  <c r="G35" i="9" a="1"/>
  <c r="G35" i="9" s="1"/>
  <c r="D182" i="8" s="1"/>
  <c r="J138" i="9" a="1"/>
  <c r="J138" i="9" s="1"/>
  <c r="D210" i="8"/>
  <c r="B6" i="9" a="1"/>
  <c r="B6" i="9" s="1"/>
  <c r="G22" i="9" a="1"/>
  <c r="G22" i="9" s="1"/>
  <c r="F37" i="8" s="1"/>
  <c r="B5" i="9" a="1"/>
  <c r="B5" i="9" s="1"/>
  <c r="B4" i="9" a="1"/>
  <c r="B4" i="9" s="1"/>
  <c r="G46" i="9" a="1"/>
  <c r="G46" i="9" s="1"/>
  <c r="B51" i="9" s="1"/>
  <c r="G50" i="9" a="1"/>
  <c r="G50" i="9" s="1"/>
  <c r="E51" i="9" s="1"/>
  <c r="C55" i="8" s="1"/>
  <c r="D184" i="8" s="1"/>
  <c r="F156" i="8"/>
  <c r="F143" i="8"/>
  <c r="F205" i="8" s="1"/>
  <c r="G132" i="9" a="1"/>
  <c r="G132" i="9" s="1"/>
  <c r="B135" i="9" s="1"/>
  <c r="J133" i="9" a="1"/>
  <c r="J133" i="9" s="1"/>
  <c r="D135" i="9"/>
  <c r="H198" i="8" s="1"/>
  <c r="G120" i="9" a="1"/>
  <c r="G120" i="9" s="1"/>
  <c r="B123" i="9" s="1"/>
  <c r="G119" i="9" a="1"/>
  <c r="G119" i="9" s="1"/>
  <c r="D194" i="8" s="1"/>
  <c r="G117" i="9" a="1"/>
  <c r="G117" i="9" s="1"/>
  <c r="B117" i="9" s="1"/>
  <c r="G111" i="9" a="1"/>
  <c r="G111" i="9" s="1"/>
  <c r="D193" i="8" s="1"/>
  <c r="J111" i="9" a="1"/>
  <c r="J111" i="9" s="1"/>
  <c r="E113" i="9"/>
  <c r="E109" i="9"/>
  <c r="G107" i="9" a="1"/>
  <c r="G107" i="9" s="1"/>
  <c r="B110" i="9" s="1"/>
  <c r="G105" i="9" a="1"/>
  <c r="G105" i="9" s="1"/>
  <c r="D191" i="8" s="1"/>
  <c r="E97" i="9"/>
  <c r="C101" i="8" s="1"/>
  <c r="F190" i="8" s="1"/>
  <c r="B97" i="9"/>
  <c r="D190" i="8"/>
  <c r="E105" i="9"/>
  <c r="G78" i="9" a="1"/>
  <c r="G78" i="9" s="1"/>
  <c r="B78" i="9" s="1"/>
  <c r="G76" i="9" a="1"/>
  <c r="G76" i="9" s="1"/>
  <c r="E78" i="9" s="1"/>
  <c r="C86" i="8" s="1"/>
  <c r="G73" i="9" a="1"/>
  <c r="G73" i="9" s="1"/>
  <c r="D189" i="8" s="1"/>
  <c r="C69" i="8"/>
  <c r="B62" i="9"/>
  <c r="G58" i="9" a="1"/>
  <c r="G58" i="9" s="1"/>
  <c r="D186" i="8" s="1"/>
  <c r="G56" i="9" a="1"/>
  <c r="G56" i="9" s="1"/>
  <c r="B56" i="9" s="1"/>
  <c r="G52" i="9" a="1"/>
  <c r="G52" i="9" s="1"/>
  <c r="D185" i="8" s="1"/>
  <c r="G32" i="9" a="1"/>
  <c r="G32" i="9" s="1"/>
  <c r="E32" i="9" s="1"/>
  <c r="C42" i="8" s="1"/>
  <c r="D181" i="8" s="1"/>
  <c r="G30" i="9" a="1"/>
  <c r="G30" i="9" s="1"/>
  <c r="F42" i="8" s="1"/>
  <c r="G3" i="9" a="1"/>
  <c r="G3" i="9" s="1"/>
  <c r="D178" i="8" s="1"/>
  <c r="E147" i="9"/>
  <c r="L147" i="9" s="1" a="1"/>
  <c r="L147" i="9" s="1"/>
  <c r="F203" i="8" s="1"/>
  <c r="C146" i="9" a="1"/>
  <c r="C146" i="9" s="1"/>
  <c r="C145" i="9" a="1"/>
  <c r="C145" i="9" s="1"/>
  <c r="E95" i="9"/>
  <c r="D95" i="9" s="1"/>
  <c r="E77" i="9"/>
  <c r="D77" i="9" s="1"/>
  <c r="E61" i="9"/>
  <c r="D61" i="9" s="1"/>
  <c r="E55" i="9"/>
  <c r="D55" i="9" s="1"/>
  <c r="E14" i="9"/>
  <c r="L148" i="9" a="1"/>
  <c r="L148" i="9" s="1"/>
  <c r="F204" i="8" s="1"/>
  <c r="D204" i="8"/>
  <c r="C148" i="9" a="1"/>
  <c r="C148" i="9" s="1"/>
  <c r="B148" i="9" a="1"/>
  <c r="B148" i="9" s="1"/>
  <c r="K147" i="9" a="1"/>
  <c r="K147" i="9" s="1"/>
  <c r="D203" i="8"/>
  <c r="C147" i="9" a="1"/>
  <c r="C147" i="9" s="1"/>
  <c r="B147" i="9" a="1"/>
  <c r="B147" i="9" s="1"/>
  <c r="L146" i="9" a="1"/>
  <c r="L146" i="9" s="1"/>
  <c r="F202" i="8" s="1"/>
  <c r="D202" i="8"/>
  <c r="L145" i="9" a="1"/>
  <c r="L145" i="9" s="1"/>
  <c r="F201" i="8" s="1"/>
  <c r="D201" i="8"/>
  <c r="L144" i="9" a="1"/>
  <c r="L144" i="9" s="1"/>
  <c r="F200" i="8" s="1"/>
  <c r="D200" i="8"/>
  <c r="C144" i="9" a="1"/>
  <c r="C144" i="9" s="1"/>
  <c r="B144" i="9" a="1"/>
  <c r="B144" i="9" s="1"/>
  <c r="L143" i="9" a="1"/>
  <c r="L143" i="9" s="1"/>
  <c r="F199" i="8" s="1"/>
  <c r="D199" i="8"/>
  <c r="C143" i="9" a="1"/>
  <c r="C143" i="9" s="1"/>
  <c r="B143" i="9" a="1"/>
  <c r="B143" i="9" s="1"/>
  <c r="G139" i="9" a="1"/>
  <c r="G139" i="9" s="1"/>
  <c r="B141" i="9" s="1"/>
  <c r="G137" i="9" a="1"/>
  <c r="G137" i="9" s="1"/>
  <c r="D207" i="8" s="1"/>
  <c r="E207" i="8" s="1" a="1"/>
  <c r="E207" i="8" s="1"/>
  <c r="D198" i="8"/>
  <c r="D197" i="8"/>
  <c r="D196" i="8"/>
  <c r="D195" i="8"/>
  <c r="H124" i="9" a="1"/>
  <c r="H124" i="9" s="1"/>
  <c r="G124" i="9" s="1"/>
  <c r="E125" i="9" s="1" a="1"/>
  <c r="E125" i="9" s="1"/>
  <c r="C136" i="8" s="1"/>
  <c r="D205" i="8"/>
  <c r="G103" i="9" a="1"/>
  <c r="G103" i="9" s="1"/>
  <c r="I77" i="9" a="1"/>
  <c r="I77" i="9" s="1"/>
  <c r="E76" i="9" s="1"/>
  <c r="J57" i="9" a="1"/>
  <c r="J57" i="9" s="1"/>
  <c r="K91" i="9" s="1" a="1"/>
  <c r="K91" i="9" s="1"/>
  <c r="U39" i="9" a="1"/>
  <c r="U39" i="9" s="1"/>
  <c r="S39" i="9" a="1"/>
  <c r="S39" i="9" s="1"/>
  <c r="P39" i="9"/>
  <c r="P39" i="9" a="1"/>
  <c r="N39" i="9" a="1"/>
  <c r="N39" i="9" s="1"/>
  <c r="I39" i="9" a="1"/>
  <c r="I39" i="9" s="1"/>
  <c r="K39" i="9" s="1" a="1"/>
  <c r="K39" i="9" s="1"/>
  <c r="G15" i="9" a="1"/>
  <c r="G15" i="9" s="1"/>
  <c r="E15" i="9" s="1"/>
  <c r="C31" i="8" s="1"/>
  <c r="F179" i="8" s="1"/>
  <c r="G14" i="9" a="1"/>
  <c r="G14" i="9" s="1"/>
  <c r="G13" i="9" a="1"/>
  <c r="G13" i="9" s="1"/>
  <c r="D15" i="9" s="1"/>
  <c r="H179" i="8" s="1"/>
  <c r="G12" i="9" a="1"/>
  <c r="G12" i="9" s="1"/>
  <c r="D179" i="8" s="1"/>
  <c r="H213" i="8" a="1"/>
  <c r="H213" i="8" s="1"/>
  <c r="D212" i="8"/>
  <c r="D211" i="8"/>
  <c r="J213" i="8" s="1" a="1"/>
  <c r="J213" i="8" s="1"/>
  <c r="D209" i="8"/>
  <c r="H209" i="8" s="1" a="1"/>
  <c r="H209" i="8" s="1"/>
  <c r="G202" i="8"/>
  <c r="G201" i="8"/>
  <c r="B97" i="2"/>
  <c r="G32" i="2" a="1"/>
  <c r="G32" i="2" s="1"/>
  <c r="E32" i="2" s="1"/>
  <c r="C42" i="1" s="1"/>
  <c r="G28" i="2" a="1"/>
  <c r="G28" i="2" s="1"/>
  <c r="D207" i="5"/>
  <c r="D205" i="5"/>
  <c r="G202" i="5"/>
  <c r="G201" i="5"/>
  <c r="I143" i="4" a="1"/>
  <c r="I143" i="4" s="1"/>
  <c r="F200" i="5" s="1"/>
  <c r="I144" i="4" a="1"/>
  <c r="I144" i="4" s="1"/>
  <c r="F201" i="5" s="1"/>
  <c r="I145" i="4" a="1"/>
  <c r="I145" i="4" s="1"/>
  <c r="F202" i="5" s="1"/>
  <c r="I147" i="4" a="1"/>
  <c r="I147" i="4" s="1"/>
  <c r="F204" i="5" s="1"/>
  <c r="I142" i="4" a="1"/>
  <c r="I142" i="4" s="1"/>
  <c r="F199" i="5" s="1"/>
  <c r="D200" i="5"/>
  <c r="D201" i="5"/>
  <c r="D202" i="5"/>
  <c r="D203" i="5"/>
  <c r="D204" i="5"/>
  <c r="D199" i="5"/>
  <c r="D198" i="5"/>
  <c r="D196" i="5"/>
  <c r="D194" i="5"/>
  <c r="D193" i="5"/>
  <c r="D191" i="5"/>
  <c r="D190" i="5"/>
  <c r="D189" i="5"/>
  <c r="D69" i="4" a="1"/>
  <c r="D69" i="4" s="1"/>
  <c r="D187" i="5"/>
  <c r="D186" i="5"/>
  <c r="D185" i="5"/>
  <c r="G27" i="4" a="1"/>
  <c r="G27" i="4" s="1"/>
  <c r="D182" i="5"/>
  <c r="G37" i="4" a="1"/>
  <c r="G37" i="4" s="1"/>
  <c r="B42" i="4" s="1"/>
  <c r="D178" i="5"/>
  <c r="D212" i="5"/>
  <c r="D211" i="5"/>
  <c r="J212" i="5" s="1" a="1"/>
  <c r="J212" i="5" s="1"/>
  <c r="B116" i="4"/>
  <c r="E69" i="4" a="1"/>
  <c r="E69" i="4" s="1"/>
  <c r="F74" i="5" s="1"/>
  <c r="G137" i="4" a="1"/>
  <c r="G137" i="4" s="1"/>
  <c r="E207" i="5" s="1"/>
  <c r="I101" i="4" a="1"/>
  <c r="I101" i="4" s="1"/>
  <c r="G101" i="4" s="1"/>
  <c r="E102" i="4" s="1" a="1"/>
  <c r="E102" i="4" s="1"/>
  <c r="F140" i="5" s="1"/>
  <c r="F205" i="5" s="1"/>
  <c r="I90" i="4" a="1"/>
  <c r="I90" i="4" s="1"/>
  <c r="H132" i="4" a="1"/>
  <c r="H132" i="4" s="1"/>
  <c r="E133" i="4" s="1"/>
  <c r="H131" i="4" a="1"/>
  <c r="H131" i="4" s="1"/>
  <c r="E132" i="4" s="1"/>
  <c r="G132" i="4" s="1" a="1"/>
  <c r="G132" i="4" s="1"/>
  <c r="G90" i="4" a="1"/>
  <c r="G90" i="4" s="1"/>
  <c r="E104" i="4" s="1"/>
  <c r="H114" i="4" a="1"/>
  <c r="H114" i="4" s="1"/>
  <c r="E115" i="4" s="1"/>
  <c r="E112" i="4"/>
  <c r="H113" i="4" a="1"/>
  <c r="H113" i="4" s="1"/>
  <c r="E114" i="4" s="1"/>
  <c r="H112" i="4" a="1"/>
  <c r="H112" i="4" s="1"/>
  <c r="E113" i="4" s="1"/>
  <c r="G112" i="2" a="1"/>
  <c r="G112" i="2" s="1"/>
  <c r="E113" i="2" s="1"/>
  <c r="G108" i="4" a="1"/>
  <c r="G108" i="4" s="1"/>
  <c r="E66" i="4"/>
  <c r="E54" i="4"/>
  <c r="G28" i="4" a="1"/>
  <c r="G28" i="4" s="1"/>
  <c r="B32" i="4" s="1"/>
  <c r="B4" i="4" a="1"/>
  <c r="B4" i="4" s="1"/>
  <c r="B3" i="4" a="1"/>
  <c r="B3" i="4" s="1"/>
  <c r="B7" i="4" a="1"/>
  <c r="B7" i="4" s="1"/>
  <c r="B6" i="4" a="1"/>
  <c r="B6" i="4" s="1"/>
  <c r="B5" i="4" a="1"/>
  <c r="B5" i="4" s="1"/>
  <c r="G24" i="4" a="1"/>
  <c r="G24" i="4" s="1"/>
  <c r="B68" i="4"/>
  <c r="G21" i="4" a="1"/>
  <c r="G21" i="4" s="1"/>
  <c r="F33" i="5" s="1"/>
  <c r="G30" i="4" a="1"/>
  <c r="G30" i="4" s="1"/>
  <c r="F38" i="5" s="1"/>
  <c r="G32" i="4" a="1"/>
  <c r="G32" i="4" s="1"/>
  <c r="C38" i="5" s="1"/>
  <c r="D181" i="5" s="1"/>
  <c r="E14" i="4"/>
  <c r="G15" i="4" s="1" a="1"/>
  <c r="G15" i="4" s="1"/>
  <c r="E15" i="4" s="1"/>
  <c r="D212" i="1"/>
  <c r="D211" i="1"/>
  <c r="J213" i="1" s="1" a="1"/>
  <c r="J213" i="1" s="1"/>
  <c r="D209" i="1"/>
  <c r="J211" i="1" s="1" a="1"/>
  <c r="J211" i="1" s="1"/>
  <c r="J57" i="2" a="1"/>
  <c r="J57" i="2" s="1"/>
  <c r="K91" i="2" s="1" a="1"/>
  <c r="K91" i="2" s="1"/>
  <c r="C67" i="1" s="1"/>
  <c r="E70" i="2" a="1"/>
  <c r="E70" i="2" s="1"/>
  <c r="F42" i="1"/>
  <c r="G22" i="2" a="1"/>
  <c r="G22" i="2" s="1"/>
  <c r="F37" i="1" s="1"/>
  <c r="G201" i="1"/>
  <c r="G139" i="2" a="1"/>
  <c r="G139" i="2" s="1"/>
  <c r="D207" i="1" s="1"/>
  <c r="D202" i="1"/>
  <c r="K149" i="2" a="1"/>
  <c r="K149" i="2" s="1"/>
  <c r="L150" i="2" a="1"/>
  <c r="L150" i="2" s="1"/>
  <c r="L148" i="2" a="1"/>
  <c r="L148" i="2" s="1"/>
  <c r="F202" i="1" s="1"/>
  <c r="L147" i="2" a="1"/>
  <c r="L147" i="2" s="1"/>
  <c r="F201" i="1" s="1"/>
  <c r="L146" i="2" a="1"/>
  <c r="L146" i="2" s="1"/>
  <c r="L145" i="2" a="1"/>
  <c r="L145" i="2" s="1"/>
  <c r="D203" i="1"/>
  <c r="D201" i="1"/>
  <c r="D198" i="1"/>
  <c r="D197" i="1"/>
  <c r="D195" i="1"/>
  <c r="G119" i="2" a="1"/>
  <c r="G119" i="2" s="1"/>
  <c r="D194" i="1" s="1"/>
  <c r="G111" i="2" a="1"/>
  <c r="G111" i="2" s="1"/>
  <c r="D193" i="1" s="1"/>
  <c r="G105" i="2" a="1"/>
  <c r="G105" i="2" s="1"/>
  <c r="D191" i="1" s="1"/>
  <c r="D190" i="1"/>
  <c r="G73" i="2" a="1"/>
  <c r="G73" i="2" s="1"/>
  <c r="D189" i="1" s="1"/>
  <c r="G64" i="2" a="1"/>
  <c r="G64" i="2" s="1"/>
  <c r="D186" i="1" s="1"/>
  <c r="D185" i="1"/>
  <c r="G12" i="2" a="1"/>
  <c r="G12" i="2" s="1"/>
  <c r="D178" i="1" s="1"/>
  <c r="G52" i="2" a="1"/>
  <c r="G52" i="2" s="1"/>
  <c r="D184" i="1" s="1"/>
  <c r="G35" i="2" a="1"/>
  <c r="G35" i="2" s="1"/>
  <c r="D181" i="1" s="1"/>
  <c r="D177" i="1"/>
  <c r="D205" i="1"/>
  <c r="G141" i="2" a="1"/>
  <c r="G141" i="2" s="1"/>
  <c r="G103" i="2" a="1"/>
  <c r="G103" i="2" s="1"/>
  <c r="G66" i="2" a="1"/>
  <c r="G66" i="2" s="1"/>
  <c r="B69" i="2" s="1"/>
  <c r="G56" i="2" a="1"/>
  <c r="G56" i="2" s="1"/>
  <c r="B56" i="2" s="1"/>
  <c r="B3" i="2" a="1"/>
  <c r="B3" i="2" s="1"/>
  <c r="B9" i="2" a="1"/>
  <c r="B9" i="2" s="1"/>
  <c r="B8" i="2" a="1"/>
  <c r="B8" i="2" s="1"/>
  <c r="B7" i="2" a="1"/>
  <c r="B7" i="2" s="1"/>
  <c r="B6" i="2" a="1"/>
  <c r="B6" i="2" s="1"/>
  <c r="B5" i="2" a="1"/>
  <c r="B5" i="2" s="1"/>
  <c r="B4" i="2" a="1"/>
  <c r="B4" i="2" s="1"/>
  <c r="B150" i="2" a="1"/>
  <c r="B150" i="2" s="1"/>
  <c r="E103" i="2" a="1"/>
  <c r="E103" i="2" s="1"/>
  <c r="E105" i="2"/>
  <c r="G86" i="4" a="1"/>
  <c r="G86" i="4" s="1"/>
  <c r="B96" i="4" s="1"/>
  <c r="G93" i="4" a="1"/>
  <c r="G93" i="4" s="1"/>
  <c r="E96" i="4" s="1"/>
  <c r="C97" i="5" s="1"/>
  <c r="F190" i="5" s="1"/>
  <c r="B61" i="4"/>
  <c r="G45" i="4" a="1"/>
  <c r="G45" i="4" s="1"/>
  <c r="B50" i="4" s="1"/>
  <c r="G109" i="2" a="1"/>
  <c r="G109" i="2" s="1"/>
  <c r="E109" i="2" s="1"/>
  <c r="G134" i="2" a="1"/>
  <c r="G134" i="2" s="1"/>
  <c r="B137" i="2" s="1"/>
  <c r="E76" i="4"/>
  <c r="D76" i="4" s="1"/>
  <c r="E61" i="4"/>
  <c r="C66" i="5" s="1"/>
  <c r="F186" i="5" s="1"/>
  <c r="G49" i="4" a="1"/>
  <c r="G49" i="4" s="1"/>
  <c r="E50" i="4" s="1"/>
  <c r="C54" i="5" s="1"/>
  <c r="G46" i="5" s="1"/>
  <c r="B147" i="4" a="1"/>
  <c r="B147" i="4" s="1"/>
  <c r="K146" i="4" a="1"/>
  <c r="K146" i="4" s="1"/>
  <c r="E146" i="4"/>
  <c r="B146" i="4" a="1"/>
  <c r="B146" i="4" s="1"/>
  <c r="B143" i="4" a="1"/>
  <c r="B143" i="4" s="1"/>
  <c r="B142" i="4" a="1"/>
  <c r="B142" i="4" s="1"/>
  <c r="G138" i="4" a="1"/>
  <c r="G138" i="4" s="1"/>
  <c r="B140" i="4" s="1"/>
  <c r="G133" i="4" a="1"/>
  <c r="G133" i="4" s="1"/>
  <c r="H123" i="4" a="1"/>
  <c r="H123" i="4" s="1"/>
  <c r="G123" i="4" s="1"/>
  <c r="J99" i="4" s="1" a="1"/>
  <c r="J99" i="4" s="1"/>
  <c r="B122" i="4"/>
  <c r="G106" i="4" a="1"/>
  <c r="G106" i="4" s="1"/>
  <c r="B109" i="4" s="1"/>
  <c r="E94" i="4"/>
  <c r="D94" i="4" s="1"/>
  <c r="G77" i="4" a="1"/>
  <c r="G77" i="4" s="1"/>
  <c r="B77" i="4" s="1"/>
  <c r="I76" i="4" a="1"/>
  <c r="I76" i="4" s="1"/>
  <c r="E75" i="4" s="1"/>
  <c r="G75" i="4" s="1" a="1"/>
  <c r="G75" i="4" s="1"/>
  <c r="E77" i="4" s="1"/>
  <c r="C82" i="5" s="1"/>
  <c r="F189" i="5" s="1"/>
  <c r="B70" i="4" a="1"/>
  <c r="B70" i="4" s="1"/>
  <c r="E60" i="4"/>
  <c r="D60" i="4" s="1"/>
  <c r="G55" i="4" a="1"/>
  <c r="G55" i="4" s="1"/>
  <c r="B55" i="4" s="1"/>
  <c r="U38" i="4" a="1"/>
  <c r="U38" i="4" s="1"/>
  <c r="S38" i="4" a="1"/>
  <c r="S38" i="4" s="1"/>
  <c r="P38" i="4" a="1"/>
  <c r="P38" i="4" s="1"/>
  <c r="N38" i="4" a="1"/>
  <c r="N38" i="4" s="1"/>
  <c r="I38" i="4" a="1"/>
  <c r="I38" i="4" s="1"/>
  <c r="K38" i="4" s="1" a="1"/>
  <c r="K38" i="4" s="1"/>
  <c r="G14" i="4" a="1"/>
  <c r="G14" i="4" s="1"/>
  <c r="G13" i="4" a="1"/>
  <c r="G13" i="4" s="1"/>
  <c r="B9" i="4" a="1"/>
  <c r="B9" i="4" s="1"/>
  <c r="B8" i="4" a="1"/>
  <c r="B8" i="4" s="1"/>
  <c r="B149" i="2" a="1"/>
  <c r="B149" i="2" s="1"/>
  <c r="B146" i="2" a="1"/>
  <c r="B146" i="2" s="1"/>
  <c r="G78" i="2" a="1"/>
  <c r="G78" i="2" s="1"/>
  <c r="B78" i="2" s="1"/>
  <c r="D78" i="2"/>
  <c r="H189" i="1" s="1"/>
  <c r="G38" i="2" a="1"/>
  <c r="G38" i="2" s="1"/>
  <c r="B43" i="2" s="1"/>
  <c r="U39" i="2" a="1"/>
  <c r="U39" i="2" s="1"/>
  <c r="S39" i="2" a="1"/>
  <c r="S39" i="2" s="1"/>
  <c r="P39" i="2" a="1"/>
  <c r="P39" i="2" s="1"/>
  <c r="N39" i="2" a="1"/>
  <c r="N39" i="2" s="1"/>
  <c r="G120" i="2" a="1"/>
  <c r="G120" i="2" s="1"/>
  <c r="B123" i="2" s="1"/>
  <c r="G117" i="2" a="1"/>
  <c r="G117" i="2" s="1"/>
  <c r="B117" i="2" s="1"/>
  <c r="G107" i="2" a="1"/>
  <c r="G107" i="2" s="1"/>
  <c r="B110" i="2" s="1"/>
  <c r="B71" i="2" a="1"/>
  <c r="B71" i="2" s="1"/>
  <c r="B70" i="2" a="1"/>
  <c r="B70" i="2" s="1"/>
  <c r="G59" i="2" a="1"/>
  <c r="G59" i="2" s="1"/>
  <c r="B62" i="2" s="1"/>
  <c r="G46" i="2" a="1"/>
  <c r="G46" i="2" s="1"/>
  <c r="B51" i="2" s="1"/>
  <c r="G50" i="2" a="1"/>
  <c r="G50" i="2" s="1"/>
  <c r="E51" i="2" s="1"/>
  <c r="C55" i="1" s="1"/>
  <c r="D183" i="1" s="1"/>
  <c r="D143" i="2"/>
  <c r="D117" i="2"/>
  <c r="E135" i="2"/>
  <c r="G102" i="2" a="1"/>
  <c r="G102" i="2" s="1"/>
  <c r="E95" i="2"/>
  <c r="E136" i="2"/>
  <c r="H124" i="2" a="1"/>
  <c r="H124" i="2" s="1"/>
  <c r="G124" i="2" s="1"/>
  <c r="E125" i="2" s="1" a="1"/>
  <c r="E125" i="2" s="1"/>
  <c r="H115" i="2" a="1"/>
  <c r="H115" i="2" s="1"/>
  <c r="E116" i="2" s="1"/>
  <c r="H114" i="2" a="1"/>
  <c r="H114" i="2" s="1"/>
  <c r="E115" i="2" s="1"/>
  <c r="H113" i="2" a="1"/>
  <c r="H113" i="2" s="1"/>
  <c r="E114" i="2" s="1"/>
  <c r="I77" i="2" a="1"/>
  <c r="I77" i="2" s="1"/>
  <c r="E75" i="2" s="1"/>
  <c r="H70" i="2"/>
  <c r="I73" i="2" a="1"/>
  <c r="I73" i="2" s="1"/>
  <c r="I68" i="2" a="1"/>
  <c r="I68" i="2" s="1"/>
  <c r="E67" i="2" s="1"/>
  <c r="G61" i="2" a="1"/>
  <c r="G61" i="2" s="1"/>
  <c r="I39" i="2" a="1"/>
  <c r="I39" i="2" s="1"/>
  <c r="G14" i="2" a="1"/>
  <c r="G14" i="2" s="1"/>
  <c r="G24" i="2" a="1"/>
  <c r="G24" i="2" s="1"/>
  <c r="E61" i="2"/>
  <c r="D61" i="2" s="1"/>
  <c r="E55" i="2"/>
  <c r="D55" i="2" s="1"/>
  <c r="E149" i="2"/>
  <c r="L149" i="2" s="1" a="1"/>
  <c r="L149" i="2" s="1"/>
  <c r="E77" i="2"/>
  <c r="D77" i="2" s="1"/>
  <c r="E14" i="2"/>
  <c r="E128" i="9" l="1"/>
  <c r="E127" i="9"/>
  <c r="E127" i="4"/>
  <c r="E126" i="4"/>
  <c r="E130" i="2"/>
  <c r="E129" i="2"/>
  <c r="E128" i="2"/>
  <c r="E127" i="2"/>
  <c r="B143" i="2"/>
  <c r="E142" i="2"/>
  <c r="I146" i="4" a="1"/>
  <c r="I146" i="4" s="1"/>
  <c r="E203" i="5"/>
  <c r="G5" i="9" a="1"/>
  <c r="G5" i="9" s="1"/>
  <c r="B10" i="9" s="1"/>
  <c r="D150" i="9"/>
  <c r="I2" i="8" s="1"/>
  <c r="E70" i="9"/>
  <c r="J117" i="9" a="1"/>
  <c r="J117" i="9" s="1"/>
  <c r="E117" i="9" s="1"/>
  <c r="C119" i="8" s="1"/>
  <c r="F193" i="8" s="1"/>
  <c r="E129" i="4"/>
  <c r="E130" i="4" s="1" a="1"/>
  <c r="E130" i="4" s="1"/>
  <c r="G133" i="5" s="1"/>
  <c r="F197" i="5" s="1"/>
  <c r="G70" i="4"/>
  <c r="E70" i="4" s="1" a="1"/>
  <c r="E70" i="4" s="1"/>
  <c r="F76" i="5" s="1"/>
  <c r="F188" i="5" s="1"/>
  <c r="H207" i="1"/>
  <c r="H206" i="1"/>
  <c r="H193" i="1"/>
  <c r="H71" i="2"/>
  <c r="E71" i="2" s="1" a="1"/>
  <c r="E71" i="2" s="1"/>
  <c r="F80" i="1" s="1"/>
  <c r="G54" i="2"/>
  <c r="D95" i="2"/>
  <c r="G89" i="2" s="1" a="1"/>
  <c r="G89" i="2" s="1"/>
  <c r="D97" i="2" s="1"/>
  <c r="H190" i="1" s="1"/>
  <c r="G94" i="2" a="1"/>
  <c r="G94" i="2" s="1"/>
  <c r="E97" i="2" s="1"/>
  <c r="C101" i="1" s="1"/>
  <c r="F190" i="1" s="1"/>
  <c r="G15" i="2" a="1"/>
  <c r="G15" i="2" s="1"/>
  <c r="E15" i="2" s="1"/>
  <c r="G13" i="2" a="1"/>
  <c r="G13" i="2" s="1"/>
  <c r="D15" i="2" s="1"/>
  <c r="C27" i="5"/>
  <c r="F179" i="5" s="1"/>
  <c r="G12" i="4" a="1"/>
  <c r="G12" i="4" s="1"/>
  <c r="D179" i="5" s="1"/>
  <c r="E5" i="4"/>
  <c r="E63" i="4"/>
  <c r="G67" i="4" s="1" a="1"/>
  <c r="G67" i="4" s="1"/>
  <c r="E6" i="9"/>
  <c r="E5" i="9"/>
  <c r="E65" i="9"/>
  <c r="E66" i="9"/>
  <c r="E133" i="9"/>
  <c r="G133" i="9" s="1" a="1"/>
  <c r="G133" i="9" s="1"/>
  <c r="E135" i="9" s="1"/>
  <c r="J136" i="8" s="1"/>
  <c r="E4" i="9"/>
  <c r="E3" i="9"/>
  <c r="G9" i="9" s="1" a="1"/>
  <c r="G9" i="9" s="1"/>
  <c r="J210" i="8" a="1"/>
  <c r="J210" i="8" s="1"/>
  <c r="J211" i="8" a="1"/>
  <c r="J211" i="8" s="1"/>
  <c r="H212" i="8"/>
  <c r="J212" i="8" a="1"/>
  <c r="J212" i="8" s="1"/>
  <c r="F195" i="8"/>
  <c r="H210" i="8"/>
  <c r="E35" i="9"/>
  <c r="G54" i="9"/>
  <c r="E54" i="9" s="1"/>
  <c r="E25" i="9"/>
  <c r="C37" i="8" s="1"/>
  <c r="E122" i="9"/>
  <c r="G121" i="9" s="1" a="1"/>
  <c r="G121" i="9" s="1"/>
  <c r="E123" i="9" s="1"/>
  <c r="C127" i="8" s="1"/>
  <c r="S46" i="9"/>
  <c r="H71" i="9"/>
  <c r="E53" i="9"/>
  <c r="G55" i="9" s="1" a="1"/>
  <c r="G55" i="9" s="1"/>
  <c r="E56" i="9" s="1"/>
  <c r="C63" i="8" s="1"/>
  <c r="E38" i="9"/>
  <c r="E36" i="9"/>
  <c r="E37" i="9"/>
  <c r="G130" i="9"/>
  <c r="E131" i="9" s="1" a="1"/>
  <c r="E131" i="9" s="1"/>
  <c r="G136" i="8" s="1"/>
  <c r="F197" i="8" s="1"/>
  <c r="E139" i="9"/>
  <c r="E138" i="9"/>
  <c r="E140" i="9"/>
  <c r="E137" i="9"/>
  <c r="G140" i="9" s="1" a="1"/>
  <c r="G140" i="9" s="1"/>
  <c r="E141" i="9" s="1"/>
  <c r="E106" i="9"/>
  <c r="G108" i="9" s="1" a="1"/>
  <c r="G108" i="9" s="1"/>
  <c r="E110" i="9" s="1"/>
  <c r="C109" i="8" s="1"/>
  <c r="F191" i="8" s="1"/>
  <c r="E75" i="9"/>
  <c r="E107" i="9"/>
  <c r="G50" i="8"/>
  <c r="J212" i="1" a="1"/>
  <c r="J212" i="1" s="1"/>
  <c r="D184" i="5"/>
  <c r="J211" i="5" a="1"/>
  <c r="J211" i="5" s="1"/>
  <c r="J100" i="4" a="1"/>
  <c r="J100" i="4" s="1"/>
  <c r="E124" i="4" a="1"/>
  <c r="E124" i="4" s="1"/>
  <c r="C133" i="5" s="1"/>
  <c r="F195" i="5" s="1"/>
  <c r="J213" i="5" a="1"/>
  <c r="J213" i="5" s="1"/>
  <c r="E134" i="4"/>
  <c r="J133" i="5" s="1"/>
  <c r="F198" i="5" s="1"/>
  <c r="G50" i="1"/>
  <c r="E67" i="4"/>
  <c r="E6" i="4"/>
  <c r="G5" i="4" a="1"/>
  <c r="G5" i="4" s="1"/>
  <c r="B10" i="4" s="1"/>
  <c r="E4" i="4"/>
  <c r="E8" i="2"/>
  <c r="E7" i="2"/>
  <c r="D180" i="1"/>
  <c r="G135" i="2" a="1"/>
  <c r="G135" i="2" s="1"/>
  <c r="J210" i="1" a="1"/>
  <c r="J210" i="1" s="1"/>
  <c r="E207" i="1" a="1"/>
  <c r="E207" i="1" s="1"/>
  <c r="D204" i="1"/>
  <c r="F204" i="1"/>
  <c r="F203" i="1"/>
  <c r="F200" i="1"/>
  <c r="D200" i="1"/>
  <c r="D199" i="1"/>
  <c r="F199" i="1"/>
  <c r="F142" i="1"/>
  <c r="F205" i="1" s="1"/>
  <c r="E112" i="2"/>
  <c r="G113" i="2" s="1" a="1"/>
  <c r="G113" i="2" s="1"/>
  <c r="E108" i="4"/>
  <c r="E105" i="4"/>
  <c r="E111" i="4"/>
  <c r="G112" i="4" s="1" a="1"/>
  <c r="G112" i="4" s="1"/>
  <c r="E106" i="4"/>
  <c r="S45" i="4"/>
  <c r="S46" i="2"/>
  <c r="G5" i="2" a="1"/>
  <c r="G5" i="2" s="1"/>
  <c r="B10" i="2" s="1"/>
  <c r="E3" i="4"/>
  <c r="G126" i="4" a="1"/>
  <c r="G126" i="4" s="1"/>
  <c r="E128" i="4" s="1"/>
  <c r="F133" i="5" s="1"/>
  <c r="F196" i="5" s="1"/>
  <c r="G53" i="4"/>
  <c r="E53" i="4" s="1"/>
  <c r="E121" i="4"/>
  <c r="E122" i="4" s="1"/>
  <c r="C125" i="5" s="1"/>
  <c r="F194" i="5" s="1"/>
  <c r="E37" i="4"/>
  <c r="E35" i="4"/>
  <c r="E52" i="4"/>
  <c r="E36" i="4"/>
  <c r="E34" i="4"/>
  <c r="E25" i="4"/>
  <c r="C33" i="5" s="1"/>
  <c r="E138" i="4"/>
  <c r="E137" i="4"/>
  <c r="E136" i="4"/>
  <c r="E139" i="4"/>
  <c r="E74" i="4"/>
  <c r="C135" i="1"/>
  <c r="F195" i="1" s="1"/>
  <c r="E140" i="2"/>
  <c r="E141" i="2"/>
  <c r="E139" i="2"/>
  <c r="E76" i="2"/>
  <c r="G76" i="2" s="1" a="1"/>
  <c r="G76" i="2" s="1"/>
  <c r="G132" i="2"/>
  <c r="E122" i="2"/>
  <c r="G121" i="2" s="1" a="1"/>
  <c r="G121" i="2" s="1"/>
  <c r="E106" i="2"/>
  <c r="E107" i="2"/>
  <c r="E68" i="2"/>
  <c r="F78" i="1"/>
  <c r="F187" i="1" s="1"/>
  <c r="K39" i="2" a="1"/>
  <c r="K39" i="2" s="1"/>
  <c r="E62" i="2"/>
  <c r="E71" i="9" l="1" a="1"/>
  <c r="E71" i="9" s="1"/>
  <c r="F78" i="8" s="1"/>
  <c r="F188" i="8" s="1"/>
  <c r="B150" i="9"/>
  <c r="F3" i="8" s="1"/>
  <c r="G127" i="9" a="1"/>
  <c r="G127" i="9" s="1"/>
  <c r="E129" i="9" s="1"/>
  <c r="F136" i="8" s="1"/>
  <c r="J144" i="8"/>
  <c r="D152" i="2"/>
  <c r="G68" i="9" a="1"/>
  <c r="G68" i="9" s="1"/>
  <c r="E69" i="9" s="1"/>
  <c r="F187" i="8" s="1"/>
  <c r="G54" i="4" a="1"/>
  <c r="G54" i="4" s="1"/>
  <c r="E55" i="4" s="1"/>
  <c r="C60" i="5" s="1"/>
  <c r="F185" i="5" s="1"/>
  <c r="F186" i="8"/>
  <c r="F188" i="1"/>
  <c r="G107" i="4" a="1"/>
  <c r="G107" i="4" s="1"/>
  <c r="E10" i="9"/>
  <c r="C24" i="8" s="1"/>
  <c r="S36" i="9" a="1"/>
  <c r="S36" i="9" s="1"/>
  <c r="E41" i="9" s="1"/>
  <c r="N36" i="9" a="1"/>
  <c r="N36" i="9" s="1"/>
  <c r="I36" i="9" a="1"/>
  <c r="I36" i="9" s="1"/>
  <c r="E68" i="4"/>
  <c r="C73" i="5" s="1"/>
  <c r="F187" i="5" s="1"/>
  <c r="G45" i="5"/>
  <c r="D180" i="5"/>
  <c r="E137" i="2"/>
  <c r="J135" i="1" s="1"/>
  <c r="E117" i="2"/>
  <c r="C119" i="1" s="1"/>
  <c r="F193" i="1" s="1"/>
  <c r="G139" i="4" a="1"/>
  <c r="G139" i="4" s="1"/>
  <c r="E116" i="4"/>
  <c r="C117" i="5" s="1"/>
  <c r="F193" i="5" s="1"/>
  <c r="B149" i="4"/>
  <c r="F3" i="5" s="1"/>
  <c r="C69" i="1"/>
  <c r="E133" i="2" a="1"/>
  <c r="E133" i="2" s="1"/>
  <c r="E131" i="2"/>
  <c r="F196" i="1" s="1"/>
  <c r="G9" i="4" a="1"/>
  <c r="G9" i="4" s="1"/>
  <c r="E10" i="4" s="1"/>
  <c r="C20" i="5" s="1"/>
  <c r="F178" i="5" s="1"/>
  <c r="S35" i="4" a="1"/>
  <c r="S35" i="4" s="1"/>
  <c r="E40" i="4" s="1"/>
  <c r="N35" i="4" a="1"/>
  <c r="N35" i="4" s="1"/>
  <c r="I35" i="4" a="1"/>
  <c r="I35" i="4" s="1"/>
  <c r="C31" i="1"/>
  <c r="F178" i="1" s="1"/>
  <c r="E143" i="2"/>
  <c r="E78" i="2"/>
  <c r="F189" i="8" s="1"/>
  <c r="F207" i="8" l="1"/>
  <c r="F196" i="8"/>
  <c r="E140" i="4"/>
  <c r="J141" i="5" s="1"/>
  <c r="F207" i="5" s="1"/>
  <c r="C77" i="8"/>
  <c r="F185" i="1"/>
  <c r="N46" i="9"/>
  <c r="O46" i="9" s="1" a="1"/>
  <c r="O46" i="9" s="1"/>
  <c r="E40" i="9"/>
  <c r="I46" i="9"/>
  <c r="E39" i="9"/>
  <c r="F198" i="1"/>
  <c r="F198" i="8"/>
  <c r="J143" i="1"/>
  <c r="F207" i="1" s="1"/>
  <c r="F135" i="1"/>
  <c r="C86" i="1"/>
  <c r="F189" i="1" s="1"/>
  <c r="G135" i="1"/>
  <c r="F197" i="1" s="1"/>
  <c r="E38" i="4"/>
  <c r="I45" i="4"/>
  <c r="E39" i="4"/>
  <c r="N45" i="4"/>
  <c r="O45" i="4" s="1" a="1"/>
  <c r="O45" i="4" s="1"/>
  <c r="E25" i="2"/>
  <c r="E36" i="2"/>
  <c r="E38" i="2"/>
  <c r="E37" i="2"/>
  <c r="E54" i="2"/>
  <c r="E6" i="2"/>
  <c r="E5" i="2"/>
  <c r="E53" i="2"/>
  <c r="E35" i="2"/>
  <c r="E66" i="2"/>
  <c r="E123" i="2" s="1"/>
  <c r="F194" i="8" s="1"/>
  <c r="E3" i="2"/>
  <c r="E4" i="2"/>
  <c r="E9" i="2"/>
  <c r="G42" i="9" l="1" a="1"/>
  <c r="G42" i="9" s="1"/>
  <c r="E43" i="9" s="1"/>
  <c r="C49" i="8" s="1"/>
  <c r="J46" i="9" a="1"/>
  <c r="J46" i="9" s="1"/>
  <c r="G43" i="9" a="1"/>
  <c r="G43" i="9" s="1"/>
  <c r="C50" i="8" s="1"/>
  <c r="F183" i="8" s="1"/>
  <c r="G49" i="8"/>
  <c r="D180" i="8"/>
  <c r="G41" i="4" a="1"/>
  <c r="G41" i="4" s="1"/>
  <c r="E42" i="4" s="1"/>
  <c r="C45" i="5" s="1"/>
  <c r="F182" i="5" s="1"/>
  <c r="C127" i="1"/>
  <c r="F194" i="1" s="1"/>
  <c r="G55" i="2" a="1"/>
  <c r="G55" i="2" s="1"/>
  <c r="E56" i="2" s="1"/>
  <c r="J45" i="4" a="1"/>
  <c r="J45" i="4" s="1"/>
  <c r="G42" i="4" a="1"/>
  <c r="G42" i="4" s="1"/>
  <c r="C46" i="5" s="1"/>
  <c r="G68" i="2" a="1"/>
  <c r="G68" i="2" s="1"/>
  <c r="E69" i="2" s="1"/>
  <c r="S36" i="2" a="1"/>
  <c r="S36" i="2" s="1"/>
  <c r="E41" i="2" s="1"/>
  <c r="N36" i="2" a="1"/>
  <c r="N36" i="2" s="1"/>
  <c r="I36" i="2" a="1"/>
  <c r="I36" i="2" s="1"/>
  <c r="G9" i="2" a="1"/>
  <c r="G9" i="2" s="1"/>
  <c r="E10" i="2" s="1"/>
  <c r="C37" i="1"/>
  <c r="F183" i="5" l="1"/>
  <c r="F185" i="8"/>
  <c r="F178" i="8"/>
  <c r="D179" i="1"/>
  <c r="G49" i="1"/>
  <c r="C63" i="1"/>
  <c r="E39" i="2"/>
  <c r="I46" i="2"/>
  <c r="E40" i="2"/>
  <c r="N46" i="2"/>
  <c r="C24" i="1"/>
  <c r="F177" i="1" s="1"/>
  <c r="C77" i="1" l="1"/>
  <c r="F184" i="1"/>
  <c r="O46" i="2" a="1"/>
  <c r="O46" i="2" s="1"/>
  <c r="G43" i="2" a="1"/>
  <c r="G43" i="2" s="1"/>
  <c r="G42" i="2" a="1"/>
  <c r="G42" i="2" s="1"/>
  <c r="E43" i="2" s="1"/>
  <c r="J46" i="2" a="1"/>
  <c r="J46" i="2" s="1"/>
  <c r="G108" i="2" a="1"/>
  <c r="G108" i="2" s="1"/>
  <c r="E110" i="2" s="1"/>
  <c r="E109" i="4"/>
  <c r="C108" i="5" s="1"/>
  <c r="F191" i="5" s="1"/>
  <c r="F186" i="1" l="1"/>
  <c r="F182" i="8"/>
  <c r="C50" i="1"/>
  <c r="F182" i="1" s="1"/>
  <c r="C49" i="1"/>
  <c r="F181" i="1" s="1"/>
  <c r="C109" i="1"/>
  <c r="F191" i="1" s="1"/>
  <c r="J210" i="5" l="1" a="1"/>
  <c r="J210" i="5" s="1"/>
  <c r="I2" i="1"/>
  <c r="B152" i="2"/>
  <c r="F3"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<sst xmlns="http://schemas.openxmlformats.org/spreadsheetml/2006/main" count="7216" uniqueCount="5163">
  <si>
    <t>Tel:</t>
  </si>
  <si>
    <t>Standard</t>
  </si>
  <si>
    <t>30 cm</t>
  </si>
  <si>
    <t>33 cm</t>
  </si>
  <si>
    <t>36 cm</t>
  </si>
  <si>
    <t>39 cm</t>
  </si>
  <si>
    <t>42 cm</t>
  </si>
  <si>
    <t>45 cm</t>
  </si>
  <si>
    <t>50 cm</t>
  </si>
  <si>
    <t>40 cm</t>
  </si>
  <si>
    <t>35 cm</t>
  </si>
  <si>
    <t>20 cm</t>
  </si>
  <si>
    <t>25 cm</t>
  </si>
  <si>
    <t>120 mm</t>
  </si>
  <si>
    <t>150 mm</t>
  </si>
  <si>
    <t>4252063 VER2</t>
  </si>
  <si>
    <t>2,5 cm</t>
  </si>
  <si>
    <t>5 cm</t>
  </si>
  <si>
    <t>Freewheel</t>
  </si>
  <si>
    <t>14-28 mm. Standard = 20 mm</t>
  </si>
  <si>
    <t>A=</t>
  </si>
  <si>
    <t>mm</t>
  </si>
  <si>
    <t>B=</t>
  </si>
  <si>
    <t>+10 mm</t>
  </si>
  <si>
    <t>+30 mm</t>
  </si>
  <si>
    <t>+40 mm</t>
  </si>
  <si>
    <t>+50 mm</t>
  </si>
  <si>
    <t>+20 mm</t>
  </si>
  <si>
    <t>g</t>
  </si>
  <si>
    <t>Carbon Standard</t>
  </si>
  <si>
    <t>S3 Standard</t>
  </si>
  <si>
    <t>Aluminium</t>
  </si>
  <si>
    <t>Video</t>
  </si>
  <si>
    <t>Ryggkil</t>
  </si>
  <si>
    <t>C166</t>
  </si>
  <si>
    <t>C167</t>
  </si>
  <si>
    <t>C169</t>
  </si>
  <si>
    <t>C170</t>
  </si>
  <si>
    <t>C171</t>
  </si>
  <si>
    <t>Antal ryggkilar</t>
  </si>
  <si>
    <t>Standard +15mm</t>
  </si>
  <si>
    <t>Tetragrip</t>
  </si>
  <si>
    <t>Panther AB - Gunnebogatan 26 - Spånga - Sweden - +46-761 50 40 - www.panthera.se</t>
  </si>
  <si>
    <t>Price</t>
  </si>
  <si>
    <t xml:space="preserve">       22" Std</t>
  </si>
  <si>
    <t>4252060 VER2</t>
  </si>
  <si>
    <t>RACING </t>
  </si>
  <si>
    <t>S3</t>
  </si>
  <si>
    <t>S3 Large</t>
  </si>
  <si>
    <t>S3 0°</t>
  </si>
  <si>
    <t>27 cm</t>
  </si>
  <si>
    <t>Weights in gram</t>
  </si>
  <si>
    <t>Art.no.</t>
  </si>
  <si>
    <t>BLG</t>
  </si>
  <si>
    <t>G</t>
  </si>
  <si>
    <t>Black</t>
  </si>
  <si>
    <t>Gray</t>
  </si>
  <si>
    <t>Other</t>
  </si>
  <si>
    <t>Tapered</t>
  </si>
  <si>
    <t>Curved back</t>
  </si>
  <si>
    <t>Fixed backrest</t>
  </si>
  <si>
    <t xml:space="preserve"> VER2</t>
  </si>
  <si>
    <t>Tapered 6 cm</t>
  </si>
  <si>
    <t>Flared 3 cm</t>
  </si>
  <si>
    <t>Curved-tapered</t>
  </si>
  <si>
    <t>Value from radiobutton</t>
  </si>
  <si>
    <t>Foldable footplates</t>
  </si>
  <si>
    <t>33/36</t>
  </si>
  <si>
    <t>39/42</t>
  </si>
  <si>
    <t>Weight</t>
  </si>
  <si>
    <r>
      <rPr>
        <b/>
        <i/>
        <sz val="12"/>
        <color rgb="FFC00000"/>
        <rFont val="Calibri"/>
        <family val="2"/>
        <scheme val="minor"/>
      </rPr>
      <t>1)</t>
    </r>
    <r>
      <rPr>
        <b/>
        <i/>
        <sz val="12"/>
        <color rgb="FF0070C0"/>
        <rFont val="Calibri"/>
        <family val="2"/>
        <scheme val="minor"/>
      </rPr>
      <t xml:space="preserve"> </t>
    </r>
    <r>
      <rPr>
        <b/>
        <i/>
        <sz val="12"/>
        <rFont val="Calibri"/>
        <family val="2"/>
        <scheme val="minor"/>
      </rPr>
      <t>Chassis</t>
    </r>
  </si>
  <si>
    <r>
      <rPr>
        <b/>
        <i/>
        <sz val="12"/>
        <color rgb="FFC00000"/>
        <rFont val="Calibri"/>
        <family val="2"/>
        <scheme val="minor"/>
      </rPr>
      <t>2)</t>
    </r>
    <r>
      <rPr>
        <b/>
        <i/>
        <sz val="12"/>
        <color rgb="FF0070C0"/>
        <rFont val="Calibri"/>
        <family val="2"/>
        <scheme val="minor"/>
      </rPr>
      <t xml:space="preserve"> </t>
    </r>
    <r>
      <rPr>
        <b/>
        <i/>
        <sz val="12"/>
        <rFont val="Calibri"/>
        <family val="2"/>
        <scheme val="minor"/>
      </rPr>
      <t>Chassis colour</t>
    </r>
  </si>
  <si>
    <r>
      <t xml:space="preserve">8) </t>
    </r>
    <r>
      <rPr>
        <b/>
        <i/>
        <sz val="12"/>
        <rFont val="Calibri"/>
        <family val="2"/>
        <scheme val="minor"/>
      </rPr>
      <t>Rear wheel</t>
    </r>
  </si>
  <si>
    <t xml:space="preserve"> One arm brake, right</t>
  </si>
  <si>
    <t>Art.no. Width</t>
  </si>
  <si>
    <t>Art.no. Height</t>
  </si>
  <si>
    <t>Heel strap</t>
  </si>
  <si>
    <r>
      <t>9)</t>
    </r>
    <r>
      <rPr>
        <b/>
        <i/>
        <sz val="12"/>
        <rFont val="Calibri"/>
        <family val="2"/>
        <scheme val="minor"/>
      </rPr>
      <t xml:space="preserve"> Pushrim</t>
    </r>
  </si>
  <si>
    <t>30/33</t>
  </si>
  <si>
    <t>36/39</t>
  </si>
  <si>
    <t>42/45</t>
  </si>
  <si>
    <t>26" Spinergy X Right Run White</t>
  </si>
  <si>
    <t>Maxgrip</t>
  </si>
  <si>
    <t>Diameter</t>
  </si>
  <si>
    <t>x2</t>
  </si>
  <si>
    <t>Accessories</t>
  </si>
  <si>
    <t>no</t>
  </si>
  <si>
    <t>small</t>
  </si>
  <si>
    <t>large</t>
  </si>
  <si>
    <t>Wheelchair</t>
  </si>
  <si>
    <r>
      <t>9900251 (</t>
    </r>
    <r>
      <rPr>
        <b/>
        <sz val="8"/>
        <color rgb="FFC00000"/>
        <rFont val="Calibri"/>
        <family val="2"/>
        <scheme val="minor"/>
      </rPr>
      <t>2st</t>
    </r>
    <r>
      <rPr>
        <b/>
        <sz val="8"/>
        <color theme="1"/>
        <rFont val="Calibri"/>
        <family val="2"/>
        <scheme val="minor"/>
      </rPr>
      <t>)</t>
    </r>
  </si>
  <si>
    <r>
      <t>9900251 (</t>
    </r>
    <r>
      <rPr>
        <b/>
        <sz val="8"/>
        <color rgb="FFC00000"/>
        <rFont val="Calibri"/>
        <family val="2"/>
        <scheme val="minor"/>
      </rPr>
      <t>1 st</t>
    </r>
    <r>
      <rPr>
        <b/>
        <sz val="8"/>
        <color theme="1"/>
        <rFont val="Calibri"/>
        <family val="2"/>
        <scheme val="minor"/>
      </rPr>
      <t>)</t>
    </r>
  </si>
  <si>
    <r>
      <t>9900301 (</t>
    </r>
    <r>
      <rPr>
        <b/>
        <sz val="8"/>
        <color rgb="FFC00000"/>
        <rFont val="Calibri"/>
        <family val="2"/>
        <scheme val="minor"/>
      </rPr>
      <t>x1/crutch</t>
    </r>
    <r>
      <rPr>
        <b/>
        <sz val="8"/>
        <color theme="1"/>
        <rFont val="Calibri"/>
        <family val="2"/>
        <scheme val="minor"/>
      </rPr>
      <t>)</t>
    </r>
  </si>
  <si>
    <t>p</t>
  </si>
  <si>
    <t>Other rear axle</t>
  </si>
  <si>
    <t>Seat height</t>
  </si>
  <si>
    <t xml:space="preserve"> One arm brake, left</t>
  </si>
  <si>
    <t>Assistant brake</t>
  </si>
  <si>
    <t>reTyre</t>
  </si>
  <si>
    <t>Rear axle adjustment</t>
  </si>
  <si>
    <t>Extra</t>
  </si>
  <si>
    <t>Choose Freewheel</t>
  </si>
  <si>
    <t>Height 6-14cm, art: 2600102</t>
  </si>
  <si>
    <t>Height 11,5-16,5cm, art: 2600105</t>
  </si>
  <si>
    <t>Height 14-19 cm, art: 2600106</t>
  </si>
  <si>
    <t>Height 16,5-21,5 cm, art: 2600107</t>
  </si>
  <si>
    <t>Height 19-24 cm, art: 2600108</t>
  </si>
  <si>
    <t>Splash</t>
  </si>
  <si>
    <t>Car rim</t>
  </si>
  <si>
    <t>Wild animals</t>
  </si>
  <si>
    <t>Smiley</t>
  </si>
  <si>
    <t>Curved-Tapered</t>
  </si>
  <si>
    <t>Xlookup</t>
  </si>
  <si>
    <r>
      <rPr>
        <b/>
        <i/>
        <sz val="12"/>
        <color rgb="FFC00000"/>
        <rFont val="Calibri"/>
        <family val="2"/>
        <scheme val="minor"/>
      </rPr>
      <t>3)</t>
    </r>
    <r>
      <rPr>
        <b/>
        <i/>
        <sz val="12"/>
        <color rgb="FF0070C0"/>
        <rFont val="Calibri"/>
        <family val="2"/>
        <scheme val="minor"/>
      </rPr>
      <t xml:space="preserve"> </t>
    </r>
    <r>
      <rPr>
        <b/>
        <i/>
        <sz val="12"/>
        <rFont val="Calibri"/>
        <family val="2"/>
        <scheme val="minor"/>
      </rPr>
      <t>Seat width</t>
    </r>
    <r>
      <rPr>
        <b/>
        <i/>
        <sz val="12"/>
        <color rgb="FF0070C0"/>
        <rFont val="Calibri"/>
        <family val="2"/>
        <scheme val="minor"/>
      </rPr>
      <t xml:space="preserve"> </t>
    </r>
    <r>
      <rPr>
        <b/>
        <i/>
        <sz val="12"/>
        <color rgb="FFC00000"/>
        <rFont val="Calibri"/>
        <family val="2"/>
        <scheme val="minor"/>
      </rPr>
      <t>BB</t>
    </r>
  </si>
  <si>
    <r>
      <rPr>
        <b/>
        <i/>
        <sz val="12"/>
        <color rgb="FFC00000"/>
        <rFont val="Calibri"/>
        <family val="2"/>
        <scheme val="minor"/>
      </rPr>
      <t>4)</t>
    </r>
    <r>
      <rPr>
        <b/>
        <i/>
        <sz val="12"/>
        <color rgb="FF0070C0"/>
        <rFont val="Calibri"/>
        <family val="2"/>
        <scheme val="minor"/>
      </rPr>
      <t xml:space="preserve"> </t>
    </r>
    <r>
      <rPr>
        <b/>
        <i/>
        <sz val="12"/>
        <rFont val="Calibri"/>
        <family val="2"/>
        <scheme val="minor"/>
      </rPr>
      <t>Backrest</t>
    </r>
  </si>
  <si>
    <r>
      <t xml:space="preserve">5) </t>
    </r>
    <r>
      <rPr>
        <b/>
        <i/>
        <sz val="12"/>
        <rFont val="Calibri"/>
        <family val="2"/>
        <scheme val="minor"/>
      </rPr>
      <t>Back rest height</t>
    </r>
    <r>
      <rPr>
        <b/>
        <i/>
        <sz val="12"/>
        <color rgb="FFC00000"/>
        <rFont val="Calibri"/>
        <family val="2"/>
        <scheme val="minor"/>
      </rPr>
      <t xml:space="preserve"> </t>
    </r>
    <r>
      <rPr>
        <b/>
        <i/>
        <sz val="12"/>
        <color rgb="FF0070C0"/>
        <rFont val="Calibri"/>
        <family val="2"/>
        <scheme val="minor"/>
      </rPr>
      <t>HH</t>
    </r>
  </si>
  <si>
    <r>
      <t xml:space="preserve">6) </t>
    </r>
    <r>
      <rPr>
        <b/>
        <i/>
        <sz val="12"/>
        <rFont val="Calibri"/>
        <family val="2"/>
        <scheme val="minor"/>
      </rPr>
      <t>Rear axle</t>
    </r>
  </si>
  <si>
    <r>
      <t xml:space="preserve">7) </t>
    </r>
    <r>
      <rPr>
        <b/>
        <i/>
        <sz val="12"/>
        <rFont val="Calibri"/>
        <family val="2"/>
        <scheme val="minor"/>
      </rPr>
      <t>Castor</t>
    </r>
  </si>
  <si>
    <r>
      <t xml:space="preserve">8) </t>
    </r>
    <r>
      <rPr>
        <b/>
        <i/>
        <sz val="12"/>
        <rFont val="Calibri"/>
        <family val="2"/>
        <scheme val="minor"/>
      </rPr>
      <t>Footrest</t>
    </r>
  </si>
  <si>
    <r>
      <t xml:space="preserve">9) </t>
    </r>
    <r>
      <rPr>
        <b/>
        <i/>
        <sz val="12"/>
        <rFont val="Calibri"/>
        <family val="2"/>
        <scheme val="minor"/>
      </rPr>
      <t>Brake</t>
    </r>
  </si>
  <si>
    <t>U3</t>
  </si>
  <si>
    <t>Upholstery</t>
  </si>
  <si>
    <t>Uphol.</t>
  </si>
  <si>
    <r>
      <rPr>
        <b/>
        <i/>
        <sz val="12"/>
        <color rgb="FFC00000"/>
        <rFont val="Calibri"/>
        <family val="2"/>
        <scheme val="minor"/>
      </rPr>
      <t>3)</t>
    </r>
    <r>
      <rPr>
        <b/>
        <i/>
        <sz val="12"/>
        <color theme="1"/>
        <rFont val="Calibri"/>
        <family val="2"/>
        <scheme val="minor"/>
      </rPr>
      <t xml:space="preserve"> Seat width </t>
    </r>
    <r>
      <rPr>
        <b/>
        <i/>
        <sz val="12"/>
        <color rgb="FFC00000"/>
        <rFont val="Calibri"/>
        <family val="2"/>
        <scheme val="minor"/>
      </rPr>
      <t>BB</t>
    </r>
  </si>
  <si>
    <t>Aluminum art.nr.</t>
  </si>
  <si>
    <t>Name</t>
  </si>
  <si>
    <t>art.nr.</t>
  </si>
  <si>
    <t>code</t>
  </si>
  <si>
    <t>90 mm</t>
  </si>
  <si>
    <t>Other fork</t>
  </si>
  <si>
    <t>X 2</t>
  </si>
  <si>
    <t>reTyre:</t>
  </si>
  <si>
    <t>Seat width</t>
  </si>
  <si>
    <t>37.5 cm</t>
  </si>
  <si>
    <t>42.5 cm</t>
  </si>
  <si>
    <r>
      <rPr>
        <b/>
        <i/>
        <sz val="12"/>
        <color rgb="FFC00000"/>
        <rFont val="Calibri"/>
        <family val="2"/>
        <scheme val="minor"/>
      </rPr>
      <t>4)</t>
    </r>
    <r>
      <rPr>
        <b/>
        <i/>
        <sz val="12"/>
        <color rgb="FF0070C0"/>
        <rFont val="Calibri"/>
        <family val="2"/>
        <scheme val="minor"/>
      </rPr>
      <t xml:space="preserve"> </t>
    </r>
    <r>
      <rPr>
        <b/>
        <i/>
        <sz val="12"/>
        <rFont val="Calibri"/>
        <family val="2"/>
        <scheme val="minor"/>
      </rPr>
      <t>Seat depth</t>
    </r>
  </si>
  <si>
    <t>37.5</t>
  </si>
  <si>
    <t>42.5</t>
  </si>
  <si>
    <t>Seat depth</t>
  </si>
  <si>
    <r>
      <rPr>
        <b/>
        <i/>
        <sz val="12"/>
        <color rgb="FFC00000"/>
        <rFont val="Calibri"/>
        <family val="2"/>
        <scheme val="minor"/>
      </rPr>
      <t>5)</t>
    </r>
    <r>
      <rPr>
        <b/>
        <i/>
        <sz val="12"/>
        <color rgb="FF0070C0"/>
        <rFont val="Calibri"/>
        <family val="2"/>
        <scheme val="minor"/>
      </rPr>
      <t xml:space="preserve"> </t>
    </r>
    <r>
      <rPr>
        <b/>
        <i/>
        <sz val="12"/>
        <rFont val="Calibri"/>
        <family val="2"/>
        <scheme val="minor"/>
      </rPr>
      <t>Backrest</t>
    </r>
  </si>
  <si>
    <r>
      <t xml:space="preserve">6) </t>
    </r>
    <r>
      <rPr>
        <b/>
        <i/>
        <sz val="12"/>
        <rFont val="Calibri"/>
        <family val="2"/>
        <scheme val="minor"/>
      </rPr>
      <t>Back rest height</t>
    </r>
    <r>
      <rPr>
        <b/>
        <i/>
        <sz val="12"/>
        <color rgb="FFC00000"/>
        <rFont val="Calibri"/>
        <family val="2"/>
        <scheme val="minor"/>
      </rPr>
      <t xml:space="preserve"> </t>
    </r>
    <r>
      <rPr>
        <b/>
        <i/>
        <sz val="12"/>
        <color rgb="FF0070C0"/>
        <rFont val="Calibri"/>
        <family val="2"/>
        <scheme val="minor"/>
      </rPr>
      <t>HH</t>
    </r>
  </si>
  <si>
    <r>
      <t xml:space="preserve">7) </t>
    </r>
    <r>
      <rPr>
        <b/>
        <i/>
        <sz val="12"/>
        <rFont val="Calibri"/>
        <family val="2"/>
        <scheme val="minor"/>
      </rPr>
      <t>Rear axle</t>
    </r>
  </si>
  <si>
    <r>
      <t xml:space="preserve">8) </t>
    </r>
    <r>
      <rPr>
        <b/>
        <i/>
        <sz val="12"/>
        <rFont val="Calibri"/>
        <family val="2"/>
        <scheme val="minor"/>
      </rPr>
      <t>Castor</t>
    </r>
  </si>
  <si>
    <r>
      <t xml:space="preserve">9) </t>
    </r>
    <r>
      <rPr>
        <b/>
        <i/>
        <sz val="12"/>
        <rFont val="Calibri"/>
        <family val="2"/>
        <scheme val="minor"/>
      </rPr>
      <t>Footrest</t>
    </r>
  </si>
  <si>
    <r>
      <t xml:space="preserve">10) </t>
    </r>
    <r>
      <rPr>
        <b/>
        <i/>
        <sz val="12"/>
        <rFont val="Calibri"/>
        <family val="2"/>
        <scheme val="minor"/>
      </rPr>
      <t>Brake</t>
    </r>
  </si>
  <si>
    <r>
      <t xml:space="preserve">11) </t>
    </r>
    <r>
      <rPr>
        <b/>
        <i/>
        <sz val="12"/>
        <rFont val="Calibri"/>
        <family val="2"/>
        <scheme val="minor"/>
      </rPr>
      <t>Rear wheel</t>
    </r>
  </si>
  <si>
    <r>
      <t>12)</t>
    </r>
    <r>
      <rPr>
        <b/>
        <i/>
        <sz val="12"/>
        <rFont val="Calibri"/>
        <family val="2"/>
        <scheme val="minor"/>
      </rPr>
      <t xml:space="preserve"> Pushrim</t>
    </r>
  </si>
  <si>
    <t>Possible seat width</t>
  </si>
  <si>
    <t>Possible seat depth</t>
  </si>
  <si>
    <t>27-33 cm</t>
  </si>
  <si>
    <t>27-33</t>
  </si>
  <si>
    <t>S3 0gr</t>
  </si>
  <si>
    <t>Castor and rearwheel combination</t>
  </si>
  <si>
    <t>Does not fit  22" rearwheels</t>
  </si>
  <si>
    <r>
      <rPr>
        <b/>
        <i/>
        <sz val="12"/>
        <color rgb="FFC00000"/>
        <rFont val="Calibri"/>
        <family val="2"/>
        <scheme val="minor"/>
      </rPr>
      <t>4)</t>
    </r>
    <r>
      <rPr>
        <b/>
        <i/>
        <sz val="12"/>
        <color rgb="FF0070C0"/>
        <rFont val="Calibri"/>
        <family val="2"/>
        <scheme val="minor"/>
      </rPr>
      <t xml:space="preserve"> </t>
    </r>
    <r>
      <rPr>
        <b/>
        <i/>
        <sz val="12"/>
        <rFont val="Calibri"/>
        <family val="2"/>
        <scheme val="minor"/>
      </rPr>
      <t>Seat depth</t>
    </r>
    <r>
      <rPr>
        <b/>
        <i/>
        <sz val="12"/>
        <color rgb="FF0070C0"/>
        <rFont val="Calibri"/>
        <family val="2"/>
        <scheme val="minor"/>
      </rPr>
      <t xml:space="preserve"> </t>
    </r>
    <r>
      <rPr>
        <b/>
        <i/>
        <sz val="12"/>
        <color rgb="FFC00000"/>
        <rFont val="Calibri"/>
        <family val="2"/>
        <scheme val="minor"/>
      </rPr>
      <t>BB</t>
    </r>
  </si>
  <si>
    <t>GP</t>
  </si>
  <si>
    <t>Width</t>
  </si>
  <si>
    <t>BB=</t>
  </si>
  <si>
    <t>HH=</t>
  </si>
  <si>
    <t>12 or 13</t>
  </si>
  <si>
    <t>logo</t>
  </si>
  <si>
    <t>no logo</t>
  </si>
  <si>
    <t>Wheeldiameter</t>
  </si>
  <si>
    <t>Name:</t>
  </si>
  <si>
    <t>art.no.</t>
  </si>
  <si>
    <t>cm</t>
  </si>
  <si>
    <t>S3 Swing</t>
  </si>
  <si>
    <t xml:space="preserve"> </t>
  </si>
  <si>
    <t>Paragrip</t>
  </si>
  <si>
    <t>12 =24", 25", 13=26"</t>
  </si>
  <si>
    <t>Art.no. No Logo</t>
  </si>
  <si>
    <t>14-28 mm. Standard = 18 mm</t>
  </si>
  <si>
    <t>Diam.</t>
  </si>
  <si>
    <t xml:space="preserve">S3 Swing </t>
  </si>
  <si>
    <t>Large footplates</t>
  </si>
  <si>
    <t>Extended tubes</t>
  </si>
  <si>
    <t>Beställningsformulär för Panthera:</t>
  </si>
  <si>
    <t>S3 Modeller</t>
  </si>
  <si>
    <t>U3 Modeller</t>
  </si>
  <si>
    <t>Sammanställning</t>
  </si>
  <si>
    <t>Sammanställning:</t>
  </si>
  <si>
    <t>startsida</t>
  </si>
  <si>
    <t>upp</t>
  </si>
  <si>
    <t>Vikt:</t>
  </si>
  <si>
    <t>Utprovad av:</t>
  </si>
  <si>
    <t>E-post:</t>
  </si>
  <si>
    <t>Utprovad för:</t>
  </si>
  <si>
    <t>Datum:</t>
  </si>
  <si>
    <t>Rensa</t>
  </si>
  <si>
    <t>Sittbredd 33-50 cm, Sittdjup 40 cm</t>
  </si>
  <si>
    <t>Sittbredd 30-45 cm, Sittdjup 27-33 cm (Sittbredd 30-33), 35 cm (Sittbredd 36-45)</t>
  </si>
  <si>
    <t>Sittbredd 33-39 cm, Sittdjup 35 cm</t>
  </si>
  <si>
    <t>Sittbredd 39-50 cm, Sittdjup 45 cm</t>
  </si>
  <si>
    <t>Sittbredd 27-33 cm, Sittdjup 27-33 cm</t>
  </si>
  <si>
    <r>
      <rPr>
        <b/>
        <i/>
        <sz val="12"/>
        <color rgb="FFC00000"/>
        <rFont val="Calibri"/>
        <family val="2"/>
        <scheme val="minor"/>
      </rPr>
      <t>2)</t>
    </r>
    <r>
      <rPr>
        <sz val="10"/>
        <color rgb="FFC00000"/>
        <rFont val="Calibri"/>
        <family val="2"/>
        <scheme val="minor"/>
      </rPr>
      <t xml:space="preserve"> </t>
    </r>
    <r>
      <rPr>
        <b/>
        <i/>
        <sz val="12"/>
        <rFont val="Calibri"/>
        <family val="2"/>
        <scheme val="minor"/>
      </rPr>
      <t>Chassifärg</t>
    </r>
  </si>
  <si>
    <r>
      <rPr>
        <b/>
        <i/>
        <sz val="12"/>
        <color rgb="FFC00000"/>
        <rFont val="Calibri"/>
        <family val="2"/>
        <scheme val="minor"/>
      </rPr>
      <t>3)</t>
    </r>
    <r>
      <rPr>
        <b/>
        <i/>
        <sz val="12"/>
        <color theme="1"/>
        <rFont val="Calibri"/>
        <family val="2"/>
        <scheme val="minor"/>
      </rPr>
      <t xml:space="preserve"> Sittbredd </t>
    </r>
    <r>
      <rPr>
        <b/>
        <i/>
        <sz val="12"/>
        <color rgb="FFC00000"/>
        <rFont val="Calibri"/>
        <family val="2"/>
        <scheme val="minor"/>
      </rPr>
      <t>BB</t>
    </r>
  </si>
  <si>
    <t xml:space="preserve">       Möjlig sittbredd:</t>
  </si>
  <si>
    <r>
      <rPr>
        <b/>
        <i/>
        <sz val="12"/>
        <color rgb="FFC00000"/>
        <rFont val="Calibri"/>
        <family val="2"/>
        <scheme val="minor"/>
      </rPr>
      <t>4)</t>
    </r>
    <r>
      <rPr>
        <b/>
        <i/>
        <sz val="12"/>
        <color theme="1"/>
        <rFont val="Calibri"/>
        <family val="2"/>
        <scheme val="minor"/>
      </rPr>
      <t xml:space="preserve"> Sittdjup</t>
    </r>
  </si>
  <si>
    <r>
      <rPr>
        <b/>
        <i/>
        <sz val="12"/>
        <color rgb="FFC00000"/>
        <rFont val="Calibri"/>
        <family val="2"/>
        <scheme val="minor"/>
      </rPr>
      <t>5)</t>
    </r>
    <r>
      <rPr>
        <b/>
        <i/>
        <sz val="12"/>
        <color theme="1"/>
        <rFont val="Calibri"/>
        <family val="2"/>
        <scheme val="minor"/>
      </rPr>
      <t xml:space="preserve"> Ryggstöd</t>
    </r>
  </si>
  <si>
    <t>och</t>
  </si>
  <si>
    <t>klädsel</t>
  </si>
  <si>
    <t>S3 Kort</t>
  </si>
  <si>
    <t>S3 Kort Låg</t>
  </si>
  <si>
    <t>S3 Lång</t>
  </si>
  <si>
    <t>S3 Kort Abd</t>
  </si>
  <si>
    <r>
      <rPr>
        <b/>
        <i/>
        <sz val="12"/>
        <color rgb="FFC00000"/>
        <rFont val="Calibri"/>
        <family val="2"/>
        <scheme val="minor"/>
      </rPr>
      <t xml:space="preserve">7) </t>
    </r>
    <r>
      <rPr>
        <b/>
        <i/>
        <sz val="12"/>
        <color theme="1"/>
        <rFont val="Calibri"/>
        <family val="2"/>
        <scheme val="minor"/>
      </rPr>
      <t>Bakaxel</t>
    </r>
  </si>
  <si>
    <t>Öka sitthöjden</t>
  </si>
  <si>
    <t>Sitthöjd</t>
  </si>
  <si>
    <t>Välj Freewheel</t>
  </si>
  <si>
    <r>
      <rPr>
        <b/>
        <i/>
        <sz val="12"/>
        <color rgb="FFC00000"/>
        <rFont val="Calibri"/>
        <family val="2"/>
        <scheme val="minor"/>
      </rPr>
      <t xml:space="preserve">8) </t>
    </r>
    <r>
      <rPr>
        <b/>
        <i/>
        <sz val="12"/>
        <color theme="1"/>
        <rFont val="Calibri"/>
        <family val="2"/>
        <scheme val="minor"/>
      </rPr>
      <t>Länkhjul</t>
    </r>
  </si>
  <si>
    <r>
      <rPr>
        <b/>
        <i/>
        <sz val="12"/>
        <color rgb="FFC00000"/>
        <rFont val="Calibri"/>
        <family val="2"/>
        <scheme val="minor"/>
      </rPr>
      <t xml:space="preserve">9) </t>
    </r>
    <r>
      <rPr>
        <b/>
        <i/>
        <sz val="12"/>
        <color theme="1"/>
        <rFont val="Calibri"/>
        <family val="2"/>
        <scheme val="minor"/>
      </rPr>
      <t>Fotstöd</t>
    </r>
  </si>
  <si>
    <t>Titan</t>
  </si>
  <si>
    <t>Titan U-formad liten hälbåge</t>
  </si>
  <si>
    <t>(bredd 33)</t>
  </si>
  <si>
    <r>
      <rPr>
        <b/>
        <i/>
        <sz val="12"/>
        <color rgb="FFC00000"/>
        <rFont val="Calibri"/>
        <family val="2"/>
        <scheme val="minor"/>
      </rPr>
      <t xml:space="preserve">10) </t>
    </r>
    <r>
      <rPr>
        <b/>
        <i/>
        <sz val="12"/>
        <color theme="1"/>
        <rFont val="Calibri"/>
        <family val="2"/>
        <scheme val="minor"/>
      </rPr>
      <t>Broms</t>
    </r>
  </si>
  <si>
    <r>
      <rPr>
        <b/>
        <i/>
        <sz val="12"/>
        <color rgb="FFC00000"/>
        <rFont val="Calibri"/>
        <family val="2"/>
        <scheme val="minor"/>
      </rPr>
      <t xml:space="preserve">11) </t>
    </r>
    <r>
      <rPr>
        <b/>
        <i/>
        <sz val="12"/>
        <color theme="1"/>
        <rFont val="Calibri"/>
        <family val="2"/>
        <scheme val="minor"/>
      </rPr>
      <t>Drivhjul -</t>
    </r>
    <r>
      <rPr>
        <i/>
        <sz val="10"/>
        <color theme="1"/>
        <rFont val="Calibri"/>
        <family val="2"/>
        <scheme val="minor"/>
      </rPr>
      <t xml:space="preserve"> utan drivring</t>
    </r>
  </si>
  <si>
    <t>Däck Right Run</t>
  </si>
  <si>
    <t>Däck Marathon Plus</t>
  </si>
  <si>
    <t>Däck grovmönstrat</t>
  </si>
  <si>
    <t>Däck PU massivt</t>
  </si>
  <si>
    <t>Enhandsdrift</t>
  </si>
  <si>
    <t xml:space="preserve">       25"  Spinergy X Svart</t>
  </si>
  <si>
    <t xml:space="preserve">       26"  Spinergy X Svart</t>
  </si>
  <si>
    <t xml:space="preserve">       25"  Spinergy X Vit</t>
  </si>
  <si>
    <t xml:space="preserve">       26"  Spinergy X Vit</t>
  </si>
  <si>
    <r>
      <rPr>
        <b/>
        <i/>
        <sz val="12"/>
        <color rgb="FFC00000"/>
        <rFont val="Calibri"/>
        <family val="2"/>
        <scheme val="minor"/>
      </rPr>
      <t xml:space="preserve">12) </t>
    </r>
    <r>
      <rPr>
        <b/>
        <i/>
        <sz val="12"/>
        <color theme="1"/>
        <rFont val="Calibri"/>
        <family val="2"/>
        <scheme val="minor"/>
      </rPr>
      <t>Drivring</t>
    </r>
  </si>
  <si>
    <t>Titan drivringar</t>
  </si>
  <si>
    <t>Tillbehör</t>
  </si>
  <si>
    <t>Sidoskydd</t>
  </si>
  <si>
    <t xml:space="preserve">  Sidoskydd S3</t>
  </si>
  <si>
    <t>Armstöd</t>
  </si>
  <si>
    <t>Armstöd S3</t>
  </si>
  <si>
    <t>Sidoskydd Carbon</t>
  </si>
  <si>
    <t>Utan skärm</t>
  </si>
  <si>
    <t>Stor skärm</t>
  </si>
  <si>
    <t>Liten skärm</t>
  </si>
  <si>
    <t xml:space="preserve"> Körhandtag</t>
  </si>
  <si>
    <t>Körhandtag Fällbara</t>
  </si>
  <si>
    <t>Körbåge</t>
  </si>
  <si>
    <t>Höj / sänkbara S3</t>
  </si>
  <si>
    <t>Max. brukarvikt 100kg</t>
  </si>
  <si>
    <t>Fällbara S3</t>
  </si>
  <si>
    <t>Körbåge S3</t>
  </si>
  <si>
    <t>Tippskydd</t>
  </si>
  <si>
    <t>Kildyna</t>
  </si>
  <si>
    <t>Ekerskydd</t>
  </si>
  <si>
    <t>Övrigt</t>
  </si>
  <si>
    <t>Rörskydd fram (ramrör)</t>
  </si>
  <si>
    <t>Rörskydd bak (ryggbåge)</t>
  </si>
  <si>
    <t>Kryckkäppshållare S3</t>
  </si>
  <si>
    <t>st</t>
  </si>
  <si>
    <t xml:space="preserve">       Bord S3</t>
  </si>
  <si>
    <t>Välj art.nr. för Freewheel efter vilken fotstödshöjd rullstolen har.</t>
  </si>
  <si>
    <t>Läs mer om Freewheel på hemsidan</t>
  </si>
  <si>
    <t xml:space="preserve">  Inställningar</t>
  </si>
  <si>
    <t>Ryggstödsvinkel</t>
  </si>
  <si>
    <t>Bakaxeljustering</t>
  </si>
  <si>
    <t>Ange måttet (A) för önskad ryggvinkel</t>
  </si>
  <si>
    <t>Ange måttet (A) för önskad balansering</t>
  </si>
  <si>
    <t>Fotstödshöjd</t>
  </si>
  <si>
    <t>Ange måttet (A) eller (B) för önskat fotstöd</t>
  </si>
  <si>
    <t>Transportmärkning</t>
  </si>
  <si>
    <t>OBS! Se bruksanvisningen för närmare anvisningar.</t>
  </si>
  <si>
    <t>Beskrivning</t>
  </si>
  <si>
    <t>Hälband:</t>
  </si>
  <si>
    <t>Plastplatta:</t>
  </si>
  <si>
    <t>Broms:</t>
  </si>
  <si>
    <t>Drivhjul:</t>
  </si>
  <si>
    <t>Drivring:</t>
  </si>
  <si>
    <t>Sidoskydd:</t>
  </si>
  <si>
    <t>Körhandtag:</t>
  </si>
  <si>
    <t>Tippskydd:</t>
  </si>
  <si>
    <t>Dyna:</t>
  </si>
  <si>
    <t>Kildyna:</t>
  </si>
  <si>
    <t>Ekerskydd:</t>
  </si>
  <si>
    <t>Rörskydd,Fram:</t>
  </si>
  <si>
    <t>Rörskydd, bak:</t>
  </si>
  <si>
    <t>Kryckkhållare:</t>
  </si>
  <si>
    <t>Ryggkil:</t>
  </si>
  <si>
    <t>Bord:</t>
  </si>
  <si>
    <t>med tema:</t>
  </si>
  <si>
    <t xml:space="preserve"> Inställningar</t>
  </si>
  <si>
    <t>Ryggstödsvinkel:</t>
  </si>
  <si>
    <t>Bakaxel:</t>
  </si>
  <si>
    <t>Fotstöd A:</t>
  </si>
  <si>
    <t>Fotstöd B:</t>
  </si>
  <si>
    <t>Svart</t>
  </si>
  <si>
    <t>Insvängd</t>
  </si>
  <si>
    <t>Bakåtbockad</t>
  </si>
  <si>
    <t>Insvängd 6 cm</t>
  </si>
  <si>
    <t>Utsvängd 3 cm</t>
  </si>
  <si>
    <t>Övriga bakaxlar</t>
  </si>
  <si>
    <t>Övriga gafflar</t>
  </si>
  <si>
    <t>Titan,U-formad</t>
  </si>
  <si>
    <t>Förlängd, förstärkt</t>
  </si>
  <si>
    <t>Fällbara fotplattor</t>
  </si>
  <si>
    <t>Fotplatta Carbon</t>
  </si>
  <si>
    <t>Hälband</t>
  </si>
  <si>
    <t>Plastplatta</t>
  </si>
  <si>
    <t xml:space="preserve"> Enhandsbroms, höger</t>
  </si>
  <si>
    <t xml:space="preserve"> Enhandsbroms, vänster</t>
  </si>
  <si>
    <t>Vårdarbroms</t>
  </si>
  <si>
    <r>
      <t xml:space="preserve">11) </t>
    </r>
    <r>
      <rPr>
        <b/>
        <i/>
        <sz val="12"/>
        <rFont val="Calibri"/>
        <family val="2"/>
        <scheme val="minor"/>
      </rPr>
      <t>Drivhjul</t>
    </r>
  </si>
  <si>
    <t>24" Std Däck Right Run</t>
  </si>
  <si>
    <t>24" Std Däck Marathon Plus</t>
  </si>
  <si>
    <t>24" Std Däck Grovmönst.</t>
  </si>
  <si>
    <t>24" Std Däck PU-massiva</t>
  </si>
  <si>
    <t>22" Std Däck Right Run</t>
  </si>
  <si>
    <t>22" Std Däck Marathon Plus</t>
  </si>
  <si>
    <t>22" Std Däck PU-massiva</t>
  </si>
  <si>
    <t>25" Spinergy X Däck Right Run</t>
  </si>
  <si>
    <t>25" Spinergy X Däck Marat. Plus</t>
  </si>
  <si>
    <t>26" Spinergy X Däck Right Run</t>
  </si>
  <si>
    <t>26" Spinergy X Däck Marat. Plus</t>
  </si>
  <si>
    <t>26" Spinergy X Däck Marat. Plus White</t>
  </si>
  <si>
    <t>Drivhjul 24x2" MTB</t>
  </si>
  <si>
    <t xml:space="preserve"> reTyre Traction 24” kpl par</t>
  </si>
  <si>
    <t xml:space="preserve"> reTyre Traction 25”  kpl par</t>
  </si>
  <si>
    <t xml:space="preserve"> reTyre Traction 26”  kpl par</t>
  </si>
  <si>
    <t>Sidoskydd S3</t>
  </si>
  <si>
    <t>Carbon Utan skärm</t>
  </si>
  <si>
    <t>Carbon Liten skärm</t>
  </si>
  <si>
    <t>Carbon Stor skärm</t>
  </si>
  <si>
    <t>Körhandtag HS</t>
  </si>
  <si>
    <t>Körhandtag HS +10cm</t>
  </si>
  <si>
    <t xml:space="preserve">Fällbara körhandtag </t>
  </si>
  <si>
    <t>Dyna 2.5 cm</t>
  </si>
  <si>
    <t>Dyna 5 cm</t>
  </si>
  <si>
    <t>Ekerskydd med logga</t>
  </si>
  <si>
    <t>Ekerskydd utan logga</t>
  </si>
  <si>
    <t>Ekerskydd med tema</t>
  </si>
  <si>
    <t>Rörskydd, fram</t>
  </si>
  <si>
    <t>Rörskydd, Bak</t>
  </si>
  <si>
    <t>Kryckkäpsshållare S3</t>
  </si>
  <si>
    <t>Bord S3</t>
  </si>
  <si>
    <t>Höjd 6-14cm, art: 2600102</t>
  </si>
  <si>
    <t>Höjd 11,5-16,5cm, art: 2600105</t>
  </si>
  <si>
    <t>Höjd 14-19 cm, art: 2600106</t>
  </si>
  <si>
    <t>Höjd 16,5-21,5 cm, art: 2600107</t>
  </si>
  <si>
    <t>Höjd 19-24 cm, art: 2600108</t>
  </si>
  <si>
    <t>ev. klädsel:</t>
  </si>
  <si>
    <t xml:space="preserve">                Gulmarkering indikerar 20 dagars lev.tid.</t>
  </si>
  <si>
    <t>25" Spinergy X Däck  Right Run Vit</t>
  </si>
  <si>
    <t>25" Spinergy X Däck Marat. Plus Vit</t>
  </si>
  <si>
    <t>Möjlig sittbredd:</t>
  </si>
  <si>
    <t>Sittbredd 33-45 cm, Sitsdjup40 cm</t>
  </si>
  <si>
    <t>Sittbredd 33-50 cm, Sitsdjup35, 37.5, 40, 42.5 cm</t>
  </si>
  <si>
    <r>
      <rPr>
        <b/>
        <i/>
        <sz val="12"/>
        <color rgb="FFC00000"/>
        <rFont val="Calibri"/>
        <family val="2"/>
        <scheme val="minor"/>
      </rPr>
      <t xml:space="preserve">6) </t>
    </r>
    <r>
      <rPr>
        <b/>
        <i/>
        <sz val="12"/>
        <color theme="1"/>
        <rFont val="Calibri"/>
        <family val="2"/>
        <scheme val="minor"/>
      </rPr>
      <t xml:space="preserve">Ryggstödshöjd </t>
    </r>
    <r>
      <rPr>
        <b/>
        <i/>
        <sz val="12"/>
        <color rgb="FF0070C0"/>
        <rFont val="Calibri"/>
        <family val="2"/>
        <scheme val="minor"/>
      </rPr>
      <t>HH</t>
    </r>
  </si>
  <si>
    <t>Däck Rugged</t>
  </si>
  <si>
    <t>Däck Grovmönstrat</t>
  </si>
  <si>
    <t>(innehåller latex)</t>
  </si>
  <si>
    <t xml:space="preserve">  Körhandtag</t>
  </si>
  <si>
    <t>Fällbara körhandtag</t>
  </si>
  <si>
    <t xml:space="preserve">   Inställningar</t>
  </si>
  <si>
    <t>Notera mått(A) för önskad ryggstödsvinkel</t>
  </si>
  <si>
    <t>Standard=60 mm, med förhöjd bakaxel = 51 mm</t>
  </si>
  <si>
    <t>Rullstolsmodell:</t>
  </si>
  <si>
    <t>Sittbredd:</t>
  </si>
  <si>
    <t>Sitsdjup:</t>
  </si>
  <si>
    <t>Ryggstöd:</t>
  </si>
  <si>
    <t>Ryggstödshöjd:</t>
  </si>
  <si>
    <t>Länkhjul:</t>
  </si>
  <si>
    <t>Fotstöd;</t>
  </si>
  <si>
    <t>plus klädsel:</t>
  </si>
  <si>
    <t>Rörskydd.Fram:</t>
  </si>
  <si>
    <t>Rörskydd.Bak:</t>
  </si>
  <si>
    <t>Kryckkäpphållare:</t>
  </si>
  <si>
    <t>Transportmärkning:</t>
  </si>
  <si>
    <t>S3 Swing Kort</t>
  </si>
  <si>
    <t>S3 Swing Låg 0°</t>
  </si>
  <si>
    <t>S3 Swing Lång</t>
  </si>
  <si>
    <t>Sittbredd 36-50 cm, Sitsdjup 40 cm</t>
  </si>
  <si>
    <t>Sittbredd 33-39 cm, Sitsdjup 35 cm</t>
  </si>
  <si>
    <t xml:space="preserve">Sittbredd 36-50 cm, Sitsdjup 37.5, 40, 42.5, 50 cm </t>
  </si>
  <si>
    <t>Sittbredd 39-50 cm, Sitsdjup 35, 37.5, 40 cm (bredd 45cm) 37.5, 40 cm ---&gt;</t>
  </si>
  <si>
    <t xml:space="preserve">         &gt; --- ( bredd 50 cm) cm, Sitsdjup 35 cm.</t>
  </si>
  <si>
    <r>
      <rPr>
        <b/>
        <i/>
        <sz val="12"/>
        <color rgb="FFC00000"/>
        <rFont val="Calibri"/>
        <family val="2"/>
        <scheme val="minor"/>
      </rPr>
      <t>4)</t>
    </r>
    <r>
      <rPr>
        <b/>
        <i/>
        <sz val="12"/>
        <color theme="1"/>
        <rFont val="Calibri"/>
        <family val="2"/>
        <scheme val="minor"/>
      </rPr>
      <t xml:space="preserve"> Sitsdjup</t>
    </r>
  </si>
  <si>
    <t xml:space="preserve">       Möjligt sitsdjup:</t>
  </si>
  <si>
    <r>
      <rPr>
        <b/>
        <i/>
        <sz val="12"/>
        <color rgb="FFC00000"/>
        <rFont val="Calibri"/>
        <family val="2"/>
        <scheme val="minor"/>
      </rPr>
      <t xml:space="preserve">11) </t>
    </r>
    <r>
      <rPr>
        <b/>
        <i/>
        <sz val="12"/>
        <color theme="1"/>
        <rFont val="Calibri"/>
        <family val="2"/>
        <scheme val="minor"/>
      </rPr>
      <t>Drivhjul-</t>
    </r>
    <r>
      <rPr>
        <i/>
        <sz val="10"/>
        <color theme="1"/>
        <rFont val="Calibri"/>
        <family val="2"/>
        <scheme val="minor"/>
      </rPr>
      <t xml:space="preserve"> utan drivring</t>
    </r>
  </si>
  <si>
    <t xml:space="preserve">       25"  Spinergy X svart</t>
  </si>
  <si>
    <t xml:space="preserve">       26"  Spinergy X svart</t>
  </si>
  <si>
    <t xml:space="preserve">       25"  Spinergy X vit</t>
  </si>
  <si>
    <t xml:space="preserve">       26"  Spinergy X vit</t>
  </si>
  <si>
    <t>Liten skörm</t>
  </si>
  <si>
    <t xml:space="preserve">         JA märk upp stolen med fästpunkter för transport i färdtjänstfordon.</t>
  </si>
  <si>
    <t>S3 Swing Modeller</t>
  </si>
  <si>
    <t>dia.rearwheel</t>
  </si>
  <si>
    <t>Artikelnr</t>
  </si>
  <si>
    <t>Benämning</t>
  </si>
  <si>
    <t>( SEK )</t>
  </si>
  <si>
    <t>Slang 24" std</t>
  </si>
  <si>
    <t>1000005X</t>
  </si>
  <si>
    <t>Fälgband 24"</t>
  </si>
  <si>
    <t>Fälgband Spinergy 26"</t>
  </si>
  <si>
    <t>Slang 22"</t>
  </si>
  <si>
    <t>Fälgband 20"</t>
  </si>
  <si>
    <t>Slang 24" light</t>
  </si>
  <si>
    <t>Eker std 24" 6P (fr.o.m. 2013)</t>
  </si>
  <si>
    <t>Slang PR1MO 24" racerventil</t>
  </si>
  <si>
    <t>Drivhjul 18" micro</t>
  </si>
  <si>
    <t>Eker micro 18"</t>
  </si>
  <si>
    <t>Eker micro 20"</t>
  </si>
  <si>
    <t>Slang  AV12B 26" bilventil</t>
  </si>
  <si>
    <t>1000023X</t>
  </si>
  <si>
    <t>Slang Primo AV12B 26" bilventil</t>
  </si>
  <si>
    <t>Slang PR1MO 26" racingventil</t>
  </si>
  <si>
    <t>Fälgband textil (100m/rulle)</t>
  </si>
  <si>
    <t>Slang CST AV12B 26" bilventil</t>
  </si>
  <si>
    <t>Slang 20"</t>
  </si>
  <si>
    <t>Fälgband 22"</t>
  </si>
  <si>
    <t>1000029D</t>
  </si>
  <si>
    <t>Fälgband 22" Delfi</t>
  </si>
  <si>
    <t>1000029S</t>
  </si>
  <si>
    <t>Fälgband 22" Schwalbe</t>
  </si>
  <si>
    <t>Ventil adapter</t>
  </si>
  <si>
    <t>Däck Schwalbe Marathon Plus 22" x 1</t>
  </si>
  <si>
    <t>Däck Schwalbe Marathon Plus 24" x 1</t>
  </si>
  <si>
    <t>Däck Schwalbe Marathon Plus 26" x 1</t>
  </si>
  <si>
    <t>Däck Schwalbe Marathon Plus 25" x 1</t>
  </si>
  <si>
    <t>Eker 20" fr.o.m. 2013</t>
  </si>
  <si>
    <t>Eker 22" fr.o.m. 2013</t>
  </si>
  <si>
    <t>Däck Schwalbe Right Run 20"x1"</t>
  </si>
  <si>
    <t>Däck Schwalbe Right Run 22"x1"(489)</t>
  </si>
  <si>
    <t>Däck Schwalbe ONE 24” V-Guard Fold.</t>
  </si>
  <si>
    <t>Däck Schwalbe Right Run 24"x1"</t>
  </si>
  <si>
    <t>Däck Schwalbe Right Run 25"x1"</t>
  </si>
  <si>
    <t>Däck Schwalbe Right Run 26"x1"</t>
  </si>
  <si>
    <t xml:space="preserve">Däck Schwalbe RightRun 22" (501) </t>
  </si>
  <si>
    <t>Eker Spox 24" m. nippel</t>
  </si>
  <si>
    <t>Eker Spox 26" m. nippel</t>
  </si>
  <si>
    <t>Eker Spox 25" std m. nippel svart</t>
  </si>
  <si>
    <t>Eker Spox 24" Röd m. nippel</t>
  </si>
  <si>
    <t>Eker X inner 24" svart</t>
  </si>
  <si>
    <t>Eker X ytter 24" svart</t>
  </si>
  <si>
    <t>Eker 22" vårdarbroms m nippel</t>
  </si>
  <si>
    <t>Eker 24" vårdarbroms m nippel</t>
  </si>
  <si>
    <t>Eker Spox 24" Vit m. nippel</t>
  </si>
  <si>
    <t>Eker Spox 25" std m. nippel - Röd</t>
  </si>
  <si>
    <t>Eker LX 24" m. nippel - Svart</t>
  </si>
  <si>
    <t>Eker LX 25" std m. nippel - Svart</t>
  </si>
  <si>
    <t>Eker X inner 24" vit</t>
  </si>
  <si>
    <t>Eker X ytter 24" vit</t>
  </si>
  <si>
    <t>Eker X inner 25" svart</t>
  </si>
  <si>
    <t>Eker X ytter 25" svart</t>
  </si>
  <si>
    <t>Eker X inner 25" vit</t>
  </si>
  <si>
    <t>Eker X ytter 25" vit</t>
  </si>
  <si>
    <t>Eker X inner 26" svart</t>
  </si>
  <si>
    <t>Eker X ytter 26" svart</t>
  </si>
  <si>
    <t>Eker X inner 26" vit</t>
  </si>
  <si>
    <t>Eker X ytter 26" vit</t>
  </si>
  <si>
    <t>Eker LX ytter 26" svart</t>
  </si>
  <si>
    <t>Eker SLX ytter 26" svart</t>
  </si>
  <si>
    <t>Eker SLX ytter 28" svart</t>
  </si>
  <si>
    <t>Däck 24"x1" punkt.fri Grå</t>
  </si>
  <si>
    <t>Däck 20" punkt.fri Grå</t>
  </si>
  <si>
    <t>Däck 22" punkt.fri Grå</t>
  </si>
  <si>
    <t>Eker LX  22" vit</t>
  </si>
  <si>
    <t>Drivhjul 20" micro</t>
  </si>
  <si>
    <t>Däck 24" x1" grovt mönster högtryck</t>
  </si>
  <si>
    <t xml:space="preserve">Däck 20"x1" punkt.fri Svart Primo </t>
  </si>
  <si>
    <t xml:space="preserve">Däck 22"x1" punkt.fri Svart Primo </t>
  </si>
  <si>
    <t xml:space="preserve">Däck 24"x1" punkt.fri Svart Primo </t>
  </si>
  <si>
    <t xml:space="preserve">Däck 25"x1" punkt.fri Svart Primo </t>
  </si>
  <si>
    <t xml:space="preserve">Däck 26"x1" punkt.fri Svart Primo </t>
  </si>
  <si>
    <t>Axel QR 1/2" / 12,7mm x 91 mm</t>
  </si>
  <si>
    <t>Axel QR 1/2" / 12,7mm x 99 mm</t>
  </si>
  <si>
    <t>Axel QR 1/2" / 12,7mm x 104 mm</t>
  </si>
  <si>
    <t>Distans QR-axel 7 mm</t>
  </si>
  <si>
    <t>Drivhjul 22" Spider utan drivring</t>
  </si>
  <si>
    <t>1100042R</t>
  </si>
  <si>
    <t>Drivhjul 22" Spider drivr Polymer</t>
  </si>
  <si>
    <t>1100043R</t>
  </si>
  <si>
    <t>Drivhjul 24" Spider Svartbläster</t>
  </si>
  <si>
    <t>1100047R</t>
  </si>
  <si>
    <t>1100048R</t>
  </si>
  <si>
    <t>1100049R</t>
  </si>
  <si>
    <t>1100051R</t>
  </si>
  <si>
    <t>Drivhjul 24" Spox sport ej drivr</t>
  </si>
  <si>
    <t>1100071R</t>
  </si>
  <si>
    <t>1100081R</t>
  </si>
  <si>
    <t>Drivhjul 24" Spox std utan drivring</t>
  </si>
  <si>
    <t>Drivhjul 24" Spox std 6 clips</t>
  </si>
  <si>
    <t>Drivhjul 24" Spox std 6 clips Röd</t>
  </si>
  <si>
    <t>1100084R</t>
  </si>
  <si>
    <t>1100089R</t>
  </si>
  <si>
    <t>Drivhjul 24" Spox std ej ring-däck</t>
  </si>
  <si>
    <t>Drivhjul 26" Spox sport</t>
  </si>
  <si>
    <t>1100091R</t>
  </si>
  <si>
    <t>Drivhjul 26" Spox sport utan</t>
  </si>
  <si>
    <t>Drivhjul 26" Spox std utan drivring</t>
  </si>
  <si>
    <t>Drivhjul 24" Spinergy X ej drivring</t>
  </si>
  <si>
    <t>1100141R</t>
  </si>
  <si>
    <t>Drivhjul 25" Spinergy X ej drivring</t>
  </si>
  <si>
    <t>1100146R</t>
  </si>
  <si>
    <t>Axel QR 1/2" / 12,7mm x 108 mm</t>
  </si>
  <si>
    <t>Drivhjul 26" Spinergy X ej drivring</t>
  </si>
  <si>
    <t>1100156R</t>
  </si>
  <si>
    <t>1100166R</t>
  </si>
  <si>
    <t>1100184R</t>
  </si>
  <si>
    <t>1100185R</t>
  </si>
  <si>
    <t>Däckskin reTyre Traction 24”kpl par</t>
  </si>
  <si>
    <t>Clips till reTyre</t>
  </si>
  <si>
    <t>Däckskin reTyre Traction 25”kpl par</t>
  </si>
  <si>
    <t>Däckskin reTyre Traction 26”kpl par</t>
  </si>
  <si>
    <t>Drivhjul 24" Vård broms kpl S3br 30</t>
  </si>
  <si>
    <t>Drivaxel enhandsdrift 27</t>
  </si>
  <si>
    <t>Drivaxel enhandsdrift 30-33</t>
  </si>
  <si>
    <t>Drivaxel enhandsdrift 33-36</t>
  </si>
  <si>
    <t>Drivaxel enhandsdrift 39-42</t>
  </si>
  <si>
    <t>Drivaxel enhandsdrift 45-50</t>
  </si>
  <si>
    <t>Drivhjul 20" enhandsdrift QR</t>
  </si>
  <si>
    <t>Drivhjul 22" enhandsdrift QR</t>
  </si>
  <si>
    <t>Drivhjul 24" enhandsdrift QR</t>
  </si>
  <si>
    <t>Drivhjul 26" enhandsdrift QR</t>
  </si>
  <si>
    <t>1101520R</t>
  </si>
  <si>
    <t>1101522R</t>
  </si>
  <si>
    <t>1101524R</t>
  </si>
  <si>
    <t>1101526R</t>
  </si>
  <si>
    <t>1101530R</t>
  </si>
  <si>
    <t>1101532R</t>
  </si>
  <si>
    <t>1101534R</t>
  </si>
  <si>
    <t>1101536R</t>
  </si>
  <si>
    <t>Mutterstycke Enhandsdrift QR</t>
  </si>
  <si>
    <t>Drivhjul 24"x2" MTB utan drivring</t>
  </si>
  <si>
    <t>Drivhjul 24"x2" MTB MaxGrepp 18"</t>
  </si>
  <si>
    <t>Drivhjul 24"x2" MTB titandrivring</t>
  </si>
  <si>
    <t>Slang MTB 24" x 1,75"</t>
  </si>
  <si>
    <t>Däck Schwalbe Black Jack 24"x1,75</t>
  </si>
  <si>
    <t>Reparationskit Vårdarbroms st</t>
  </si>
  <si>
    <t>Drivhjul 22" Vård broms kpl S3br 27</t>
  </si>
  <si>
    <t>Drivhjul 22" Vård broms kpl S3br 30</t>
  </si>
  <si>
    <t>Drivhjul 22" Vård broms kpl S3br 33</t>
  </si>
  <si>
    <t>Drivhjul 22" Vård broms kpl S3br 36</t>
  </si>
  <si>
    <t>Drivhjul 22" Vård broms kpl S3br 39</t>
  </si>
  <si>
    <t>Drivhjul 22" Vård broms kpl S3br 42</t>
  </si>
  <si>
    <t>Drivhjul 22" Vård broms kpl S3br 45</t>
  </si>
  <si>
    <t>Drivhjul 22" Vård broms kpl S3br 50</t>
  </si>
  <si>
    <t>Drivhjul 24" Vård broms kpl S3br 27</t>
  </si>
  <si>
    <t>Drivhjul 24" Vård broms kpl S3br 33</t>
  </si>
  <si>
    <t>Drivhjul 24" Vård broms kpl S3br 36</t>
  </si>
  <si>
    <t>Drivhjul 24" Vård broms kpl S3br 39</t>
  </si>
  <si>
    <t>Drivhjul 24" Vård broms kpl S3br 42</t>
  </si>
  <si>
    <t>Drivhjul 24" Vård broms kpl S3br 45</t>
  </si>
  <si>
    <t>Drivhjul 24" Vård broms kpl S3br 50</t>
  </si>
  <si>
    <t>Drivhjul 22" Spinergy Spox</t>
  </si>
  <si>
    <t>Drivhjul 24"  Spinergy Spox</t>
  </si>
  <si>
    <t>Drivhjul 25" Spinergy Spox</t>
  </si>
  <si>
    <t>Drivhjul 26" Spinergy Spox</t>
  </si>
  <si>
    <t>Drivhjul 22"  Spinergy Spox Sport</t>
  </si>
  <si>
    <t>Drivhjul  24" Spinergy Spox Sport</t>
  </si>
  <si>
    <t>Drivhjul 25" Spinergy Spox Sport</t>
  </si>
  <si>
    <t>Drivhjul 26" Spinergy Spox Sport</t>
  </si>
  <si>
    <t>Drivhjul 22" Spinergy LX</t>
  </si>
  <si>
    <t>Drivhjul  24" Spinergy LX</t>
  </si>
  <si>
    <t>Drivhjul  25" Spinergy LX</t>
  </si>
  <si>
    <t>Eker Spinergy LX/SLX 24" Rosa</t>
  </si>
  <si>
    <t>Eker Spinergy LX/SLX 24" Grön</t>
  </si>
  <si>
    <t>Eker Spinergy LX/SLX 24" Orange</t>
  </si>
  <si>
    <t>Eker Spinergy LX/SLX 24" Svart</t>
  </si>
  <si>
    <t>Eker Spinergy LX/SLX 24" Vit</t>
  </si>
  <si>
    <t>Eker Spinergy LX/SLX 24" Röd</t>
  </si>
  <si>
    <t>Eker Spinergy LX/SLX 24" Gul</t>
  </si>
  <si>
    <t>Eker Spinergy LX/SLX 24" Blå</t>
  </si>
  <si>
    <t>Drivhjul 25" Spinergy LX</t>
  </si>
  <si>
    <t>1203314R</t>
  </si>
  <si>
    <t xml:space="preserve">Drivhjul 25" Spinergy LX </t>
  </si>
  <si>
    <t>Drivhjul 26" Spinergy LX</t>
  </si>
  <si>
    <t>Drivhjul 22" Spinergy SLX</t>
  </si>
  <si>
    <t>Drivhjul 24" Spinergy SLX</t>
  </si>
  <si>
    <t>Drivhjul 25" Spinergy SLX</t>
  </si>
  <si>
    <t>Drivhjul 26" Spinergy SLX</t>
  </si>
  <si>
    <t>Drivhjul 26" Spinergy SLX (18ekrar)</t>
  </si>
  <si>
    <t>Drivhjul 24" 6P ej drivring däck</t>
  </si>
  <si>
    <t>1300000R</t>
  </si>
  <si>
    <t>Drivhjul 24" 6P utan drivring</t>
  </si>
  <si>
    <t>Drivhjul 24" 6P ej drivring PU däck</t>
  </si>
  <si>
    <t>Drivhjul 24" 6P ej dr.ring Marathon</t>
  </si>
  <si>
    <t>Drivhjul 24" 6P ej drivring Grovm</t>
  </si>
  <si>
    <t>Drivhjul 22" 6P ej drivring däck</t>
  </si>
  <si>
    <t>1310000R</t>
  </si>
  <si>
    <t>Drivhjul 22" 6P utan drivring</t>
  </si>
  <si>
    <t>Drivhjul 22" 6P ej drivring PU däck</t>
  </si>
  <si>
    <t>Drivhjul 22" 6P ej dr.ring Marathon</t>
  </si>
  <si>
    <t>Drivhjul 20" 6P ej drivring däck</t>
  </si>
  <si>
    <t>Drivhjul 20" 6P ej drivring PU däck</t>
  </si>
  <si>
    <t>Kit QR-axel intern saldohantering</t>
  </si>
  <si>
    <t>Axel QR 1/2" / 12,7mm x 112 mm</t>
  </si>
  <si>
    <t>Axel QR 1/2" 12,7mm x 99mm titan</t>
  </si>
  <si>
    <t>Drivring titan 20" 6P 421 mm</t>
  </si>
  <si>
    <t>Drivring titan 22" 6P 459 mm</t>
  </si>
  <si>
    <t>Drivring Titan för 24" MTB-hjul</t>
  </si>
  <si>
    <t>Drivring skydd krympslang klippt</t>
  </si>
  <si>
    <t>Drivring titan 24" hjul 6P 510mm</t>
  </si>
  <si>
    <t>Drivring ALU för 24"hjul 6P 510mm</t>
  </si>
  <si>
    <t>Drivring titan 25" hjul Spinergy</t>
  </si>
  <si>
    <t>Drivring titan 26"-hjul Spinergy</t>
  </si>
  <si>
    <t>Drivring MaxGrepp 24"hjul 6P 510mm</t>
  </si>
  <si>
    <t>Drivring MaxGrepp 20"hjul 6P 421 mm</t>
  </si>
  <si>
    <t>Drivring MaxGrepp 22"hjul 6P 459 mm</t>
  </si>
  <si>
    <t>Skruv Drivring PRC lång</t>
  </si>
  <si>
    <t>Skruv Drivring PRC std</t>
  </si>
  <si>
    <t>Drivring MaxGrepp 21" gr lå dist</t>
  </si>
  <si>
    <t>Drivring MaxGrepp 21" gr ko dist</t>
  </si>
  <si>
    <t>Drivring Polymerkompakt rund 24"</t>
  </si>
  <si>
    <t>Drivring Polymerkompakt 26" SPOX</t>
  </si>
  <si>
    <t>Drivring Polymerkompakt rund 22"</t>
  </si>
  <si>
    <t>Drivring Friktion 20" enhand stor</t>
  </si>
  <si>
    <t>Drivring Friktion 20" enhand liten</t>
  </si>
  <si>
    <t>Drivring Friktion 22" enhand stor</t>
  </si>
  <si>
    <t>Drivring Friktion 22" enhand liten</t>
  </si>
  <si>
    <t>Drivring Friktion 24" enhand stor</t>
  </si>
  <si>
    <t>Drivring Friktion 24" enhand liten</t>
  </si>
  <si>
    <t>Drivring Friktion 26" enhand stor</t>
  </si>
  <si>
    <t>Drivring Friktion 26" enhand liten</t>
  </si>
  <si>
    <t>Drivring Alu 20" enhand stor</t>
  </si>
  <si>
    <t>Drivring Alu 20" enhand liten</t>
  </si>
  <si>
    <t>Drivring Alu 22" enhand liten</t>
  </si>
  <si>
    <t>Drivring Alu 24" enhand stor</t>
  </si>
  <si>
    <t>Drivring Alu 24" enhand liten</t>
  </si>
  <si>
    <t>Drivring Alu 26" enhand stor</t>
  </si>
  <si>
    <t>Drivhjul 20" enhand passiv sida</t>
  </si>
  <si>
    <t>Drivhjul 22" enhand passiv sida</t>
  </si>
  <si>
    <t>Drivhjul 24" enhand passiv sida</t>
  </si>
  <si>
    <t>Drivhjul 26" enhand passiv sida</t>
  </si>
  <si>
    <t>Drivring Aluminium 24" X</t>
  </si>
  <si>
    <t>Drivring Aluminium 25" X</t>
  </si>
  <si>
    <t>Drivring Aluminium 26" X</t>
  </si>
  <si>
    <t>1905120BT</t>
  </si>
  <si>
    <t>Drivring Para 20" 6 bockade öron</t>
  </si>
  <si>
    <t>1905122BT</t>
  </si>
  <si>
    <t>Drivring Para 22" 6 bockade öron</t>
  </si>
  <si>
    <t>1905124BT</t>
  </si>
  <si>
    <t>Drivring Para 24" 6P bockade öron</t>
  </si>
  <si>
    <t>1905125BT</t>
  </si>
  <si>
    <t>Drivring Para 25" 6 bockade öron</t>
  </si>
  <si>
    <t>1905126BT</t>
  </si>
  <si>
    <t>Drivring Para 26" 6 bockade öron</t>
  </si>
  <si>
    <t>1905220BT</t>
  </si>
  <si>
    <t>Drivring Tetra 20" 6  bockade öron</t>
  </si>
  <si>
    <t>1905222BT</t>
  </si>
  <si>
    <t>Drivring Tetra 22" 6 bockade öron</t>
  </si>
  <si>
    <t>1905224BT</t>
  </si>
  <si>
    <t>Drivring Tetra 24" 6P bockade öron</t>
  </si>
  <si>
    <t>1905225BT</t>
  </si>
  <si>
    <t>Drivring Tetra 25" 6 bockade öron</t>
  </si>
  <si>
    <t>1905226BT</t>
  </si>
  <si>
    <t>Drivring Tetra 26" 6 bockade öron</t>
  </si>
  <si>
    <t>Drivring MaxGrepp 17" gr ko dist</t>
  </si>
  <si>
    <t>Drivring MaxGrepp 18" gr ko dist</t>
  </si>
  <si>
    <t>Lager 608 ZZ länkhjul C3</t>
  </si>
  <si>
    <t>Lager 626 ZZ C3 länkhjul light</t>
  </si>
  <si>
    <t>Länkhjul 3"/87mm hårda</t>
  </si>
  <si>
    <t>Länkhjul 3"/87mm hård utan lager</t>
  </si>
  <si>
    <t>Länkhjul 3"/86mm X med lager</t>
  </si>
  <si>
    <t>Distans centrum länkhjul X</t>
  </si>
  <si>
    <t>Länkhjul S3 90 mm</t>
  </si>
  <si>
    <t>Bussning länkhjul S3 set</t>
  </si>
  <si>
    <t xml:space="preserve">Bussning länkhjul S3 </t>
  </si>
  <si>
    <t>Länkhjul S3 120 mm</t>
  </si>
  <si>
    <t>Länkhjul S3 150 mm</t>
  </si>
  <si>
    <t>2003024DL</t>
  </si>
  <si>
    <t>Gaffeltapp S3 3mm Dri-loc</t>
  </si>
  <si>
    <t>Länkhjul S3 150mm för gaffel S3 kpl</t>
  </si>
  <si>
    <t>Länkhjul 3" hård för gaffel S3 kpl</t>
  </si>
  <si>
    <t>Länkhjul 3" X för gaffel S3 kpl</t>
  </si>
  <si>
    <t>Länkhjul 3" X för gaffel X2 kpl</t>
  </si>
  <si>
    <t>Länkhjul S3 90mm för gaffel S2 kpl</t>
  </si>
  <si>
    <t>Länkhjul S3 120mm för gaffel S2 kpl</t>
  </si>
  <si>
    <t>Länkhjul S3 150mm för gaffel S2 kpl</t>
  </si>
  <si>
    <t>Länkhjul 3" hård för gaffel S2 kpl</t>
  </si>
  <si>
    <t>Gaffel 75, hjul 90, tapp 3</t>
  </si>
  <si>
    <t>Gaffel 75, hjul 120, tapp 3</t>
  </si>
  <si>
    <t>Gaffel 75, hjul 120, tapp 8</t>
  </si>
  <si>
    <t>Gaffel 90, hjul 90, tapp 3</t>
  </si>
  <si>
    <t>Gaffel 90, hjul 90, tapp 8</t>
  </si>
  <si>
    <t>Gaffel 90, hjul 120, tapp 3</t>
  </si>
  <si>
    <t>Gaffel 90, hjul 120, tapp 8</t>
  </si>
  <si>
    <t>Gaffel 90, hjul 150, tapp 3</t>
  </si>
  <si>
    <t>Gaffel 105, hjul 90, tapp 3</t>
  </si>
  <si>
    <t>Gaffel 105, hjul 90, tapp 8</t>
  </si>
  <si>
    <t>Gaffel 105, hjul 90, tapp 33</t>
  </si>
  <si>
    <t>Gaffel 105, hjul 120, tapp 3</t>
  </si>
  <si>
    <t>Gaffel 105, hjul 120, tapp 8</t>
  </si>
  <si>
    <t>Gaffel 105, hjul 120, tapp 33</t>
  </si>
  <si>
    <t>Gaffel 105, hjul 150, tapp 3</t>
  </si>
  <si>
    <t>Gaffel 120, hjul 90, tapp 3</t>
  </si>
  <si>
    <t>Gaffel 120, hjul 90, tapp 8</t>
  </si>
  <si>
    <t>Gaffel 120, hjul 90, tapp 33</t>
  </si>
  <si>
    <t>Gaffel 120, hjul 120, tapp 3</t>
  </si>
  <si>
    <t>Gaffel 120, hjul 5" tjock , tapp 3</t>
  </si>
  <si>
    <t>Gaffel 120, hjul 120, tapp 8</t>
  </si>
  <si>
    <t>Gaffel 120, hjul 120, tapp 33</t>
  </si>
  <si>
    <t>Gaffel 120, hjul 150, tapp 3</t>
  </si>
  <si>
    <t>Gaffel 90, tapp 33</t>
  </si>
  <si>
    <t>Gaffel 105, tapp 33</t>
  </si>
  <si>
    <t>Gaffel 120, tapp 33</t>
  </si>
  <si>
    <t>Gaffel 75, tapp 3</t>
  </si>
  <si>
    <t>Gaffel 90, tapp 3</t>
  </si>
  <si>
    <t>Gaffel 105,tapp 3</t>
  </si>
  <si>
    <t>Gaffel 120,tapp 3</t>
  </si>
  <si>
    <t>Gaffel 75, tapp 8</t>
  </si>
  <si>
    <t>Gaffel 90, tapp 8</t>
  </si>
  <si>
    <t>Gaffel 105, tapp 8</t>
  </si>
  <si>
    <t>Gaffel 120, tapp 8</t>
  </si>
  <si>
    <t>Gaffel 75, hjul 90 mm, tapp X2/24"</t>
  </si>
  <si>
    <t>2100201DL</t>
  </si>
  <si>
    <t xml:space="preserve">Gaffel 75, hjul 90 mm, tapp X2/24" </t>
  </si>
  <si>
    <t>Gaffel 90, hjul 90 mm, tapp X2/24"</t>
  </si>
  <si>
    <t>Gaffel 75, hjul 120mm, tapp X2/24"</t>
  </si>
  <si>
    <t>Gaffel 90, hjul 120mm, tapp X2/24"</t>
  </si>
  <si>
    <t>Gaffel 75, tapp X2/24"</t>
  </si>
  <si>
    <t>5809036GP</t>
  </si>
  <si>
    <t>Gaffel 90, tapp X2/24"</t>
  </si>
  <si>
    <t>Gaffel 75, hjul 87mm hårda, tapp 3</t>
  </si>
  <si>
    <t>Gaffel 105, hjul 87mm hårda, tapp 3</t>
  </si>
  <si>
    <t>Gaffel 90,X.hjul,tapp 3</t>
  </si>
  <si>
    <t>Gaffel 105,X.hjul,tapp 3</t>
  </si>
  <si>
    <t>Gaffel 90,X.hjul,tapp33</t>
  </si>
  <si>
    <t>Gaffel X-2</t>
  </si>
  <si>
    <t>Gaffel X2 3-5"</t>
  </si>
  <si>
    <t>Gaffel X2 24" med 3" X hjul</t>
  </si>
  <si>
    <t>Gaffel X2 25" med 3" X hjul</t>
  </si>
  <si>
    <t>Gaffel X2 26" med 3" X hjul</t>
  </si>
  <si>
    <t>Monteringsdetaljer för X-gaffel</t>
  </si>
  <si>
    <t>Rör handtag körbåge S3 36 U.gummi</t>
  </si>
  <si>
    <t>Freewheel standard</t>
  </si>
  <si>
    <t>Freewheel för Bambinofotplatta</t>
  </si>
  <si>
    <t>Freewheel specialhöjd 5,5 "</t>
  </si>
  <si>
    <t>Freewheel specialhöjd 6,5 "</t>
  </si>
  <si>
    <t>Freewheel specialhöjd 7,5 "</t>
  </si>
  <si>
    <t>Freewheel specialhöjd 8,5"</t>
  </si>
  <si>
    <t>FW Lager</t>
  </si>
  <si>
    <t>FW bussning</t>
  </si>
  <si>
    <t>FW Gaffel</t>
  </si>
  <si>
    <t>FW Kula</t>
  </si>
  <si>
    <t>FW fjäder</t>
  </si>
  <si>
    <t>FW Lock / hatt</t>
  </si>
  <si>
    <t>FW styrning stam bult</t>
  </si>
  <si>
    <t>FW Axel skruv</t>
  </si>
  <si>
    <t>FW handtag</t>
  </si>
  <si>
    <t>FW bult SET ( 2st )</t>
  </si>
  <si>
    <t>FW vinkel bult</t>
  </si>
  <si>
    <t>FW skruv sats - 6st</t>
  </si>
  <si>
    <t>FW Hylsa A</t>
  </si>
  <si>
    <t>FW Hylsa B</t>
  </si>
  <si>
    <t>FW slut-del lång</t>
  </si>
  <si>
    <t>FW Slut-del kort</t>
  </si>
  <si>
    <t>FW mellanlägg tunn</t>
  </si>
  <si>
    <t>FW mellanlägg medium</t>
  </si>
  <si>
    <t>FW mellanlägg tjock</t>
  </si>
  <si>
    <t>FW Mellandel</t>
  </si>
  <si>
    <t>FW ledtappar par</t>
  </si>
  <si>
    <t>FW Cup shim w/screws/ 19 mm fotbåge</t>
  </si>
  <si>
    <t>FW  klämma</t>
  </si>
  <si>
    <t>FW ryggfäste Set ( Ej Panthera )</t>
  </si>
  <si>
    <t>FW Däck P036</t>
  </si>
  <si>
    <t xml:space="preserve">FW slang </t>
  </si>
  <si>
    <t>FW Hjul utan däck</t>
  </si>
  <si>
    <t xml:space="preserve">FW custom frame </t>
  </si>
  <si>
    <t>FW Panthera sats</t>
  </si>
  <si>
    <t>FW Cup shim w/screws - 16 mm</t>
  </si>
  <si>
    <t>Det. för mont FreeWheel på Bambino</t>
  </si>
  <si>
    <t xml:space="preserve">FW ryggfäste / Panthera kit </t>
  </si>
  <si>
    <t>Chassi X 33 std. sittkl.</t>
  </si>
  <si>
    <t>Chassi X 33 std. sittkl.5"</t>
  </si>
  <si>
    <t>Chassi X 36 std. sittkl.</t>
  </si>
  <si>
    <t>Chassi X 36 std. sittkl.5"</t>
  </si>
  <si>
    <t>Chassi X 39 std. sittkl.</t>
  </si>
  <si>
    <t>Chassi X 39 std. sittkl.5"</t>
  </si>
  <si>
    <t>Chassi X 42 std. sittkl.</t>
  </si>
  <si>
    <t>Chassi X 42 std. sittkl.5"</t>
  </si>
  <si>
    <t>Chassi X 45 std. sittkl.</t>
  </si>
  <si>
    <t>Chassi X 45 std. sittkl.5"</t>
  </si>
  <si>
    <t>Ryggklädsel Micro 24</t>
  </si>
  <si>
    <t>Ryggklädsel Micro 27</t>
  </si>
  <si>
    <t>Sittklädsel Micro 24 kpl</t>
  </si>
  <si>
    <t>Sittklädsel Micro 24 lång kpl</t>
  </si>
  <si>
    <t>Sittklädsel Micro 24</t>
  </si>
  <si>
    <t>Sittklädsel Micro 24 lång</t>
  </si>
  <si>
    <t>Klädselfäste Micro</t>
  </si>
  <si>
    <t>Sittklädsel Micro 27 kpl</t>
  </si>
  <si>
    <t>Sittklädsel Micro 27 lång kpl</t>
  </si>
  <si>
    <t>Sittklädsel Micro 27</t>
  </si>
  <si>
    <t>Sittklädsel Micro 27 lång</t>
  </si>
  <si>
    <t>Sitsförlängare Micro 27</t>
  </si>
  <si>
    <t>Sittklädsel X br 33 kort med skena</t>
  </si>
  <si>
    <t>Sittklädsel X br 33 kort komplett</t>
  </si>
  <si>
    <t>Förstärkningsrem X sits 33</t>
  </si>
  <si>
    <t>Sittklädsel X br 36 kort med skena</t>
  </si>
  <si>
    <t>Sittklädsel X br 36 kort komplett</t>
  </si>
  <si>
    <t>Förstärkningsrem X sits 36</t>
  </si>
  <si>
    <t>Sittklädsel X br 39 kort med skena</t>
  </si>
  <si>
    <t>Sittklädsel X br 39 kort komplett</t>
  </si>
  <si>
    <t>Förstärkningsrem X sits 39</t>
  </si>
  <si>
    <t>Sittklädsel X br 42 kort med skena</t>
  </si>
  <si>
    <t>Sittklädsel X br 42 kort komplett</t>
  </si>
  <si>
    <t>Förstärkningsrem X sits 42</t>
  </si>
  <si>
    <t>Sittklädsel X br 45 kort med skena</t>
  </si>
  <si>
    <t>Sittklädsel X br 45 kort komplett</t>
  </si>
  <si>
    <t>Förstärkningsrem X sits 45</t>
  </si>
  <si>
    <t>Hjulfästen kpl sats</t>
  </si>
  <si>
    <t>Hjulfäste ytter V2</t>
  </si>
  <si>
    <t>Hjulfäste inner V2</t>
  </si>
  <si>
    <t>Hjulfäste inner vårdarbroms</t>
  </si>
  <si>
    <t>Hjulfäste ytter enhandsdrift</t>
  </si>
  <si>
    <t>Hjulfäste inner enhandsdrift</t>
  </si>
  <si>
    <t>Distans ytter enhandsdrift</t>
  </si>
  <si>
    <t>Mutter enhandsdrift</t>
  </si>
  <si>
    <t xml:space="preserve">Bakaxel kpl 24 bred </t>
  </si>
  <si>
    <t>Bakaxel kpl set 24  för vårdarbroms</t>
  </si>
  <si>
    <t xml:space="preserve">Bakaxel kpl 27 bred </t>
  </si>
  <si>
    <t>Bakaxel kpl 27  för vårdarbroms</t>
  </si>
  <si>
    <t>Bakaxel kpl 27 för enhandsdrift</t>
  </si>
  <si>
    <t xml:space="preserve">Bakaxel kpl 30 bred </t>
  </si>
  <si>
    <t>Bakaxel kpl 30 för vårdarbroms</t>
  </si>
  <si>
    <t>Bakaxel kpl 30 för enhandsdrift</t>
  </si>
  <si>
    <t xml:space="preserve">Bakaxel kpl 33 bred </t>
  </si>
  <si>
    <t>Bakaxel kpl 33 för vårdarbroms</t>
  </si>
  <si>
    <t>Bakaxel kpl 33 för enhandsdrift</t>
  </si>
  <si>
    <t>Bakaxel kpl 36 bred</t>
  </si>
  <si>
    <t>Bakaxel kpl 36 för vårdarbroms</t>
  </si>
  <si>
    <t>Bakaxel kpl 36 för enhandsdrift</t>
  </si>
  <si>
    <t>Bakaxel kpl 39 bred</t>
  </si>
  <si>
    <t>Bakaxel kpl 39 för vårdarbroms</t>
  </si>
  <si>
    <t>Bakaxel kpl 39 för enhandsdrift</t>
  </si>
  <si>
    <t>Bakaxel kpl 42 bred</t>
  </si>
  <si>
    <t>Bakaxel kpl 42 för vårdarbroms</t>
  </si>
  <si>
    <t>Bakaxel kpl 42 för enhandsdrift</t>
  </si>
  <si>
    <t>Bakaxel kpl 45 bred</t>
  </si>
  <si>
    <t>Bakaxel kpl 45 för vårdarbroms</t>
  </si>
  <si>
    <t>Bakaxel kpl 45 för enhandsdrift</t>
  </si>
  <si>
    <t>Bakaxel kpl 50 bred</t>
  </si>
  <si>
    <t>Bakaxel kpl 50 för vårdarbroms</t>
  </si>
  <si>
    <t>Bakaxel kpl 50 för enhandsdrift</t>
  </si>
  <si>
    <t>Monteringssats bakaxel enhandsdrift</t>
  </si>
  <si>
    <t>Distans enhandsdrift 5 mm</t>
  </si>
  <si>
    <t>Monteringssats bakaxel vårdarbroms</t>
  </si>
  <si>
    <t>Monteringssats bakaxel standard</t>
  </si>
  <si>
    <t>Bakaxel vårdarbroms B3 24 kpl set</t>
  </si>
  <si>
    <t>Bakaxel vårdarbroms B3 27 kpl set</t>
  </si>
  <si>
    <t>Bakaxel vårdarbroms B3 30 kpl set</t>
  </si>
  <si>
    <t>Bakaxel vårdarbroms B3 33 kpl set</t>
  </si>
  <si>
    <t xml:space="preserve">Bakaxel enhandsdrift B3 27 kpl </t>
  </si>
  <si>
    <t xml:space="preserve">Bakaxel enhandsdrift B3 30 kpl </t>
  </si>
  <si>
    <t xml:space="preserve">Bakaxel enhandsdrift B3 33 kpl </t>
  </si>
  <si>
    <t>Rör bakaxel kpl m. bult 24</t>
  </si>
  <si>
    <t>Rör bakaxel kpl m. bult 27</t>
  </si>
  <si>
    <t>Rör Bakaxel kpl m. bult 30</t>
  </si>
  <si>
    <t>Rör Bakaxel kpl m. bult 33</t>
  </si>
  <si>
    <t>Rör Bakaxel kpl m. bult 36</t>
  </si>
  <si>
    <t>Rör Bakaxel kpl m. bult 39</t>
  </si>
  <si>
    <t>Rör Bakaxel kpl m. bult 42</t>
  </si>
  <si>
    <t>Rör Bakaxel kpl m. bult 45</t>
  </si>
  <si>
    <t>Rör Bakaxel kpl m. bult 50</t>
  </si>
  <si>
    <t>Bakaxel Micro 24 cm</t>
  </si>
  <si>
    <t>Bakaxel Micro 27 cm</t>
  </si>
  <si>
    <t>Klämma bakaxel hög 19</t>
  </si>
  <si>
    <t>Klämma bakaxel hög mellanlägg 19 ny</t>
  </si>
  <si>
    <t>Klämma bakaxel hög mellanlägg 26 mk</t>
  </si>
  <si>
    <t>Klämma bakaxel 26</t>
  </si>
  <si>
    <t>Klämma bakaxel distans 10 mm</t>
  </si>
  <si>
    <t>Klämma bakaxel hög mellanlägg 26uk</t>
  </si>
  <si>
    <t>Fäste bakaxel std par</t>
  </si>
  <si>
    <t>Klämma bakaxel std mellanlägg övre</t>
  </si>
  <si>
    <t>Rör bakaxel kpl Carbon b30</t>
  </si>
  <si>
    <t>Rör bakaxel kpl Carbon b30 +1,5</t>
  </si>
  <si>
    <t>Rör bakaxel kpl Carbon b33</t>
  </si>
  <si>
    <t>Rör bakaxel kpl Carbon b33 +1,5</t>
  </si>
  <si>
    <t>Rör bakaxel kpl Carbon b36</t>
  </si>
  <si>
    <t>Rör bakaxel kpl Carbon b36 +1,5</t>
  </si>
  <si>
    <t>Rör bakaxel kpl Carbon b39</t>
  </si>
  <si>
    <t>Rör bakaxel kpl Carbon b39 +1,5</t>
  </si>
  <si>
    <t>Rör bakaxel kpl Carbon b42</t>
  </si>
  <si>
    <t>Rör bakaxel kpl Carbon b42 +1,5</t>
  </si>
  <si>
    <t>Rör bakaxel kpl Carbon b45</t>
  </si>
  <si>
    <t>Rör bakaxel kpl Carbon b45 +1,5</t>
  </si>
  <si>
    <t>Rör bakaxel kpl Carbon b50</t>
  </si>
  <si>
    <t>Rör bakaxel kpl Carbon b50 +1,5</t>
  </si>
  <si>
    <t>Fäste camberaxel 6° 26mm kpl par</t>
  </si>
  <si>
    <t>Bakaxel kpl Carbon b24</t>
  </si>
  <si>
    <t>Bakaxel kpl Carbon b24 +1,5</t>
  </si>
  <si>
    <t>Bakaxel kpl Carbon b27</t>
  </si>
  <si>
    <t>Bakaxel kpl Carbon b27 +1,5</t>
  </si>
  <si>
    <t>Bakaxel kpl Carbon b30</t>
  </si>
  <si>
    <t>Bakaxel kpl Carbon b30 +1,5</t>
  </si>
  <si>
    <t>Bakaxel kpl Carbon b33</t>
  </si>
  <si>
    <t>Bakaxel kpl Carbon b33 +1,5</t>
  </si>
  <si>
    <t>Bakaxel kpl Carbon b36</t>
  </si>
  <si>
    <t>Bakaxel kpl Carbon b36 +1,5</t>
  </si>
  <si>
    <t>Bakaxel kpl Carbon b39</t>
  </si>
  <si>
    <t>Bakaxel kpl Carbon b39 +1,5</t>
  </si>
  <si>
    <t>Bakaxel kpl Carbon b42</t>
  </si>
  <si>
    <t>Bakaxel kpl Carbon b42 +1,5</t>
  </si>
  <si>
    <t>Bakaxel kpl Carbon b45</t>
  </si>
  <si>
    <t>Bakaxel kpl Carbon b45 +1,5</t>
  </si>
  <si>
    <t>Bakaxel kpl Carbon b50</t>
  </si>
  <si>
    <t>Bakaxel kpl Carbon b50 +1,5</t>
  </si>
  <si>
    <t>Fäste bakaxel kpl förhöjning 10mm</t>
  </si>
  <si>
    <t>Fäste bakaxel kpl förhöjning 20mm</t>
  </si>
  <si>
    <t>Fäste bakaxel kpl förhöjning 30mm</t>
  </si>
  <si>
    <t>Fäste bakaxel kpl förhöjning 40mm</t>
  </si>
  <si>
    <t>Fäste bakaxel kpl förhöjning 50mm</t>
  </si>
  <si>
    <t>Fäste bakaxel kpl förhöjning 60mm</t>
  </si>
  <si>
    <t>Fäste bakaxel kpl förhöjning 70mm</t>
  </si>
  <si>
    <t>Fäste bakaxel 6-8⁰ u.klack 10 kpl</t>
  </si>
  <si>
    <t>Fäste bakaxel 6-8⁰ u.klack 20 kpl</t>
  </si>
  <si>
    <t>Fäste bakaxel 6-8⁰ u.klack 30 kpl</t>
  </si>
  <si>
    <t>Fäste bakaxel 6-8⁰ u.klack 40 kpl</t>
  </si>
  <si>
    <t>Fäste bakaxel 6-8⁰ u.klack 50 kpl</t>
  </si>
  <si>
    <t>Fäste bakaxel 6-8⁰ u.klack 60 kpl</t>
  </si>
  <si>
    <t>Fäste bakaxel 6-8⁰ u.klack 70 kpl</t>
  </si>
  <si>
    <t>Bakaxel Carbon med bult b24</t>
  </si>
  <si>
    <t>Bakaxel Carbon med bult b27</t>
  </si>
  <si>
    <t>Bakaxel Carbon med bult b30</t>
  </si>
  <si>
    <t>Bakaxel Carbon med bult b33</t>
  </si>
  <si>
    <t>Bakaxel Carbon med bult b36</t>
  </si>
  <si>
    <t>Bakaxel Carbon med bult b39</t>
  </si>
  <si>
    <t>Bakaxel Carbon med bult b42</t>
  </si>
  <si>
    <t>Bakaxel Carbon med bult b45</t>
  </si>
  <si>
    <t>Bakaxel Carbon med bult b50</t>
  </si>
  <si>
    <t>Rör Bakaxel carbon 6gr b 24</t>
  </si>
  <si>
    <t>Rör Bakaxel carbon 6gr b 27</t>
  </si>
  <si>
    <t>Rör Bakaxel carbon 6gr b 30</t>
  </si>
  <si>
    <t>Rör Bakaxel carbon 6gr b 33</t>
  </si>
  <si>
    <t>Rör Bakaxel carbon 6gr b 36</t>
  </si>
  <si>
    <t>Rör Bakaxel carbon 6gr b 39</t>
  </si>
  <si>
    <t>Rör Bakaxel carbon 6gr b 42</t>
  </si>
  <si>
    <t>Bakaxel carbon 6gr br24cm kpl</t>
  </si>
  <si>
    <t>Bakaxel carbon 6gr br27cm kpl</t>
  </si>
  <si>
    <t>Bakaxel carbon 6gr br30cm kpl</t>
  </si>
  <si>
    <t>Bakaxel carbon 6gr br33cm kpl</t>
  </si>
  <si>
    <t>Bakaxel carbon 6gr +10mm br24cm kpl</t>
  </si>
  <si>
    <t>Bakaxel carbon 6gr +10mm br27cm kpl</t>
  </si>
  <si>
    <t>Bakaxel carbon 6gr +10mm br30cm kpl</t>
  </si>
  <si>
    <t>Bakaxel carbon 6gr +10mm br33cm kpl</t>
  </si>
  <si>
    <t>Sittklädsel X3 br33 med skena</t>
  </si>
  <si>
    <t>Sittklädsel X3 br33 komplett</t>
  </si>
  <si>
    <t>Rör Bakaxel carbon 4gr b 27</t>
  </si>
  <si>
    <t>Bakaxel carbon 4gr br33cm kpl</t>
  </si>
  <si>
    <t>Bakaxel carbon 4gr br36cm kpl</t>
  </si>
  <si>
    <t>Bakaxel carbon 4gr br39cm kpl</t>
  </si>
  <si>
    <t>Bakaxel carbon 4gr br42cm kpl</t>
  </si>
  <si>
    <t>Bakaxel carbon 4gr br45cm kpl</t>
  </si>
  <si>
    <t>Sittklädsel X3 br36 med skena</t>
  </si>
  <si>
    <t>Sittklädsel X3 br36 komplett</t>
  </si>
  <si>
    <t>Sittklädsel X3 br39 med skena</t>
  </si>
  <si>
    <t>Sittklädsel X3 br39 komplett</t>
  </si>
  <si>
    <t>Sittklädsel X3 br42 med skena</t>
  </si>
  <si>
    <t>Sittklädsel X3 br42 komplett</t>
  </si>
  <si>
    <t>Sittklädsel X3 br45 med skena</t>
  </si>
  <si>
    <t>Sittklädsel X3 br45 komplett</t>
  </si>
  <si>
    <t>Klämma std med gänga M6</t>
  </si>
  <si>
    <t>Mellanbit 19 spår</t>
  </si>
  <si>
    <t>Bättringsfärg grå metallic</t>
  </si>
  <si>
    <t>Bättringsfärg Blue Classic</t>
  </si>
  <si>
    <t>Bättringsfärg Anodic Black</t>
  </si>
  <si>
    <t>Bättringsfärg Pearl White</t>
  </si>
  <si>
    <t>Glansig klarlack till bättringsfärg</t>
  </si>
  <si>
    <t>Bättringsfärg Racing Blue</t>
  </si>
  <si>
    <t>Matt klarlack till bättringsfärg</t>
  </si>
  <si>
    <t>Bättringsfärg Ruby Red</t>
  </si>
  <si>
    <t>Bättringsfärg Sting Yellow</t>
  </si>
  <si>
    <t>Bättringsfärg Horizon Grey</t>
  </si>
  <si>
    <t>Bättringsfärg Pine Green</t>
  </si>
  <si>
    <t>Bättringsfärg Pearl Violet</t>
  </si>
  <si>
    <t>Camberaxel sats 24 8 gr</t>
  </si>
  <si>
    <t>Bakaxel kpl Micro 24</t>
  </si>
  <si>
    <t>Camberaxel sats 27 8 gr</t>
  </si>
  <si>
    <t>Bakaxel kpl Micro 27</t>
  </si>
  <si>
    <t>Camberaxel sats 30  2 gr</t>
  </si>
  <si>
    <t>Camberaxel sats 30  8 gr</t>
  </si>
  <si>
    <t>Camberaxel sats 33 8 gr</t>
  </si>
  <si>
    <t>Camberaxel sats 36 2 gr</t>
  </si>
  <si>
    <t>Camberaxel sats 36 8 gr</t>
  </si>
  <si>
    <t>Camberaxel sats 39 2 gr</t>
  </si>
  <si>
    <t>Camberaxel sats 39 4 gr</t>
  </si>
  <si>
    <t>Camberaxel sats 39 8 gr</t>
  </si>
  <si>
    <t>Camberaxel sats 42 2 gr</t>
  </si>
  <si>
    <t>Camberaxel sats 42 4 gr</t>
  </si>
  <si>
    <t>Camberaxel sats 42 8 gr</t>
  </si>
  <si>
    <t>Camberaxel sats 45 2 gr</t>
  </si>
  <si>
    <t>Camberaxel sats 45 4 gr</t>
  </si>
  <si>
    <t>Camberaxel sats 45  8gr</t>
  </si>
  <si>
    <t>Camberaxel sats 50 2 gr</t>
  </si>
  <si>
    <t>Camberaxel m m-stycke 24  8 gr</t>
  </si>
  <si>
    <t>Camberaxel m m-stycke 27  8 gr</t>
  </si>
  <si>
    <t>Camberaxel m m-stycke 30  8 gr</t>
  </si>
  <si>
    <t>Camberaxel m m-stycke 33 8 gr</t>
  </si>
  <si>
    <t>Camberaxel m m-stycke 36 2 gr</t>
  </si>
  <si>
    <t>Camberaxel m m-stycke 36 8 gr</t>
  </si>
  <si>
    <t>Camberaxel m m-stycke 39 2 gr</t>
  </si>
  <si>
    <t>Camberaxel m m-stycke 39  4 gr</t>
  </si>
  <si>
    <t>Camberaxel m m-stycke 39 8 gr</t>
  </si>
  <si>
    <t>Camberaxel m m-stycke 42 2 gr</t>
  </si>
  <si>
    <t>Camberaxel m m-stycke 42  4 gr</t>
  </si>
  <si>
    <t>Camberaxel m m-stycke 42 8 gr</t>
  </si>
  <si>
    <t>Camberaxel m m-stycke 45 2 gr</t>
  </si>
  <si>
    <t>Camberaxel m m-stycke 45  4 gr</t>
  </si>
  <si>
    <t>Camberaxel m m-stycke 45 8 gr</t>
  </si>
  <si>
    <t>Ryggklädsel X br 33 h 32</t>
  </si>
  <si>
    <t>Ryggstativ X br 33 h 35</t>
  </si>
  <si>
    <t>Ryggstativ X br 36 h 35</t>
  </si>
  <si>
    <t>Ryggstativ X br 39 h 35</t>
  </si>
  <si>
    <t>Ryggstativ X br 42 h 35</t>
  </si>
  <si>
    <t>Ryggstativ X br 45 h 35</t>
  </si>
  <si>
    <t>Rygg X kpl. br 33 h 22</t>
  </si>
  <si>
    <t>Rygg X kpl. br 33 h 23</t>
  </si>
  <si>
    <t>Rygg X kpl. br 33 h 24</t>
  </si>
  <si>
    <t>Rygg X kpl. br 33 h 25</t>
  </si>
  <si>
    <t>Rygg X kpl. br 33 h 26</t>
  </si>
  <si>
    <t>Rygg X kpl. br 33 h 27</t>
  </si>
  <si>
    <t>Rygg X kpl. br 33 h 28</t>
  </si>
  <si>
    <t>Rygg X kpl. br 33 h 29</t>
  </si>
  <si>
    <t>Rygg X kpl. br 33 h 30</t>
  </si>
  <si>
    <t>Rygg X kpl. br 33 h 31</t>
  </si>
  <si>
    <t>Rygg X kpl. br 33 h 32</t>
  </si>
  <si>
    <t>Rygg X kpl. br 33 h 33</t>
  </si>
  <si>
    <t>Rygg X kpl. br 33 h 34</t>
  </si>
  <si>
    <t>Rygg X kpl. br 33 h 35</t>
  </si>
  <si>
    <t>Rygg X kpl. br 36 h 22</t>
  </si>
  <si>
    <t>Rygg X kpl. br 36 h 23</t>
  </si>
  <si>
    <t>Rygg X kpl. br 36 h 24</t>
  </si>
  <si>
    <t>Rygg X kpl. br 36 h 25</t>
  </si>
  <si>
    <t>Rygg X kpl. br 36 h 26</t>
  </si>
  <si>
    <t>Rygg X kpl. br 36 h 27</t>
  </si>
  <si>
    <t>Rygg X kpl. br 36 h 28</t>
  </si>
  <si>
    <t>Rygg X kpl. br 36 h 29</t>
  </si>
  <si>
    <t>Rygg X kpl. br 36 h 30</t>
  </si>
  <si>
    <t>Rygg X kpl. br 36 h 31</t>
  </si>
  <si>
    <t>Rygg X kpl. br 36 h 32</t>
  </si>
  <si>
    <t>Rygg X kpl. br 36 h 33</t>
  </si>
  <si>
    <t>Rygg X kpl. br 36 h 34</t>
  </si>
  <si>
    <t>Rygg X kpl. br 36 h 35</t>
  </si>
  <si>
    <t>Rygg X kpl. br 39 h 22</t>
  </si>
  <si>
    <t>Rygg X kpl. br 39 h 23</t>
  </si>
  <si>
    <t>Rygg X kpl. br 39 h 24</t>
  </si>
  <si>
    <t>Rygg X kpl. br 39 h 25</t>
  </si>
  <si>
    <t>Rygg X kpl. br 39 h 26</t>
  </si>
  <si>
    <t>Rygg X kpl. br 39 h 27</t>
  </si>
  <si>
    <t>Rygg X kpl. br 39 h 28</t>
  </si>
  <si>
    <t>Rygg X kpl. br 39 h 29</t>
  </si>
  <si>
    <t>Rygg X kpl. br 39 h 30</t>
  </si>
  <si>
    <t>Rygg X kpl. br 39 h 31</t>
  </si>
  <si>
    <t>Rygg X kpl. br 39 h 32</t>
  </si>
  <si>
    <t>Rygg X kpl. br 39 h 33</t>
  </si>
  <si>
    <t>Rygg X kpl. br 39 h 34</t>
  </si>
  <si>
    <t>Rygg X kpl. br 39 h 35</t>
  </si>
  <si>
    <t>Rygg X kpl. br 42 h 22</t>
  </si>
  <si>
    <t>Rygg X kpl. br 42 h 23</t>
  </si>
  <si>
    <t>Rygg X kpl. br 42 h 24</t>
  </si>
  <si>
    <t>Rygg X kpl. br 42 h 25</t>
  </si>
  <si>
    <t>Rygg X kpl. br 42 h 26</t>
  </si>
  <si>
    <t>Rygg X kpl. br 42 h 27</t>
  </si>
  <si>
    <t>Rygg X kpl. br 42 h 28</t>
  </si>
  <si>
    <t>Rygg X kpl. br 42 h 29</t>
  </si>
  <si>
    <t>Rygg X kpl. br 42 h 30</t>
  </si>
  <si>
    <t>Rygg X kpl. br 42 h 31</t>
  </si>
  <si>
    <t>Rygg X kpl. br 42 h 32</t>
  </si>
  <si>
    <t>Rygg X kpl. br 42 h 33</t>
  </si>
  <si>
    <t>Rygg X kpl. br 42 h 34</t>
  </si>
  <si>
    <t>Rygg X kpl. br 42 h 35</t>
  </si>
  <si>
    <t>Rygg X kpl. br 45 h 22</t>
  </si>
  <si>
    <t>Rygg X kpl. br 45 h 23</t>
  </si>
  <si>
    <t>Rygg X kpl. br 45 h 24</t>
  </si>
  <si>
    <t>Rygg X kpl. br 45 h 25</t>
  </si>
  <si>
    <t>Rygg X kpl. br 45 h 26</t>
  </si>
  <si>
    <t>Rygg X kpl. br 45 h 27</t>
  </si>
  <si>
    <t>Rygg X kpl. br 45 h 28</t>
  </si>
  <si>
    <t>Rygg X kpl. br 45 h 29</t>
  </si>
  <si>
    <t>Rygg X kpl. br 45 h 30</t>
  </si>
  <si>
    <t>Rygg X kpl. br 45 h 31</t>
  </si>
  <si>
    <t>Rygg X kpl. br 45 h 32</t>
  </si>
  <si>
    <t>Rygg X kpl. br 45 h 33</t>
  </si>
  <si>
    <t>Rygg X kpl. br 45 h 34</t>
  </si>
  <si>
    <t>Rygg X kpl. br 45 h 35</t>
  </si>
  <si>
    <t>Lager 6001 1/2" 2RS Std drivhjul</t>
  </si>
  <si>
    <t>Lager EE4 2RS  drivhjulsnav</t>
  </si>
  <si>
    <t>Lager 6001 2RS</t>
  </si>
  <si>
    <t>3440003RF</t>
  </si>
  <si>
    <t>Lager 6001 2RS ROSTFRITT</t>
  </si>
  <si>
    <t>Lager 6902 2RS</t>
  </si>
  <si>
    <t>3440004RF</t>
  </si>
  <si>
    <t>Lager 6902 2RS ROSTFRITT</t>
  </si>
  <si>
    <t>3503311G</t>
  </si>
  <si>
    <t>Rullstol X 33 chassi Grund</t>
  </si>
  <si>
    <t>3503312G</t>
  </si>
  <si>
    <t>Rullstol X 33 chassi för 5" länk</t>
  </si>
  <si>
    <t>3503611G</t>
  </si>
  <si>
    <t>Rullstol X 36 chassi Grund</t>
  </si>
  <si>
    <t>3503612G</t>
  </si>
  <si>
    <t>Rullstol X 36 chassi för 5" länk</t>
  </si>
  <si>
    <t>3503911G</t>
  </si>
  <si>
    <t>Rullstol X 39 chassi Grund</t>
  </si>
  <si>
    <t>3503912G</t>
  </si>
  <si>
    <t>Rullstol X 39 chassi för 5" länk</t>
  </si>
  <si>
    <t>3504211G</t>
  </si>
  <si>
    <t>Rullstol X 42 chassi Grund</t>
  </si>
  <si>
    <t>3504212G</t>
  </si>
  <si>
    <t>Rullstol X 42 chassi för 5" länk</t>
  </si>
  <si>
    <t>3504511G</t>
  </si>
  <si>
    <t>Rullstol X 45 chassi Grund</t>
  </si>
  <si>
    <t>3504512G</t>
  </si>
  <si>
    <t>Rullstol X 45 chassi för 5" länk</t>
  </si>
  <si>
    <t>Rullstol Micro kort 24 blå</t>
  </si>
  <si>
    <t>3560024P</t>
  </si>
  <si>
    <t>Rullstol Micro kort 24 lack</t>
  </si>
  <si>
    <t>Rullstol Micro kort 27 blå</t>
  </si>
  <si>
    <t>3560027P</t>
  </si>
  <si>
    <t>Rullstol Micro kort 27 lack</t>
  </si>
  <si>
    <t>Rullstol Micro lång 24 blå</t>
  </si>
  <si>
    <t>3560124P</t>
  </si>
  <si>
    <t>Rullstol Micro lång 24 lack</t>
  </si>
  <si>
    <t>Rullstol Micro lång 27 blå</t>
  </si>
  <si>
    <t>3560127P</t>
  </si>
  <si>
    <t>Rullstol Micro lång 27 lack</t>
  </si>
  <si>
    <t>Fotbåge V-form 30 för S-serien</t>
  </si>
  <si>
    <t>Fotbåge U-form 42 liten hälbåge S</t>
  </si>
  <si>
    <t>3600043X</t>
  </si>
  <si>
    <t>Fotbåge U-form 45 liten hälbåge S</t>
  </si>
  <si>
    <t>Krympslang Nelcon 25,4R svart</t>
  </si>
  <si>
    <t>Krympslang Nelcon 19R svart</t>
  </si>
  <si>
    <t>Fotbåge U-form 30 liten hälbåge S</t>
  </si>
  <si>
    <t>3600131X</t>
  </si>
  <si>
    <t>Fotbåge U-form 33 liten hälbåge S</t>
  </si>
  <si>
    <t>3600134X</t>
  </si>
  <si>
    <t>Fotbåge V.form 36 m. krympsl</t>
  </si>
  <si>
    <t>3600136X</t>
  </si>
  <si>
    <t>Fotbåge U-form 36 liten hälbåge S</t>
  </si>
  <si>
    <t>3600137X</t>
  </si>
  <si>
    <t>Fotbåge U-form 39 liten hälbåge S</t>
  </si>
  <si>
    <t>3600138X</t>
  </si>
  <si>
    <t>Fotbåge V.form 39 m. krympsl</t>
  </si>
  <si>
    <t>3600139X</t>
  </si>
  <si>
    <t>Fotbåge V.form 42 m. krympsl</t>
  </si>
  <si>
    <t>3600142X</t>
  </si>
  <si>
    <t>Fotbåge V.form 45 m. krympsl</t>
  </si>
  <si>
    <t>Fotbåge U-form 33 för X</t>
  </si>
  <si>
    <t>3600433X</t>
  </si>
  <si>
    <t>Fotbåge U-form 33 för X oanodiserad</t>
  </si>
  <si>
    <t>Fotbåge U-form 36 för X</t>
  </si>
  <si>
    <t>Fotbåge U-form 36 för X-heavy duty</t>
  </si>
  <si>
    <t>Fotbåge U-form 39 för X</t>
  </si>
  <si>
    <t>Fotbåge U-form 42 för X</t>
  </si>
  <si>
    <t>Fotbåge U-form 45 för X</t>
  </si>
  <si>
    <t>Fotbåge U form 33 förlängd U-serie</t>
  </si>
  <si>
    <t>3600633X</t>
  </si>
  <si>
    <t>Fotbåge U form 36 förlängd U-serie</t>
  </si>
  <si>
    <t>3600636X</t>
  </si>
  <si>
    <t>3600639B</t>
  </si>
  <si>
    <t>Fotbåge U form 39 förlängd U-serie</t>
  </si>
  <si>
    <t>3600639X</t>
  </si>
  <si>
    <t>3600642B</t>
  </si>
  <si>
    <t>Fotbåge U form 42 förlängd U-serie</t>
  </si>
  <si>
    <t>3600642X</t>
  </si>
  <si>
    <t>3600645B</t>
  </si>
  <si>
    <t>Fotbåge U form 45 förlängd U-serie</t>
  </si>
  <si>
    <t>Fotbåge X förlängd br 33</t>
  </si>
  <si>
    <t>Fotbåge X förlängd br 36</t>
  </si>
  <si>
    <t>Fotbåge X förlängd br 39</t>
  </si>
  <si>
    <t>Fotbåge X förlängd br 42</t>
  </si>
  <si>
    <t>Fotbåge X förlängd br 45</t>
  </si>
  <si>
    <t>Fotbåge U-form light för U3L Alu 33</t>
  </si>
  <si>
    <t>Fotbåge U-form light för U3L Alu 36</t>
  </si>
  <si>
    <t>Fotbåge U-form light för U3L Alu 39</t>
  </si>
  <si>
    <t>Fotbåge U-form light för U3L Alu 42</t>
  </si>
  <si>
    <t>Fotbåge U-form light för U3L Alu 45</t>
  </si>
  <si>
    <t>Platta fotbåge 30/33</t>
  </si>
  <si>
    <t>Platta fotbåge 36</t>
  </si>
  <si>
    <t>Platta fotbåge 39</t>
  </si>
  <si>
    <t>Platta fotbåge 42</t>
  </si>
  <si>
    <t>Platta fotbåge 45</t>
  </si>
  <si>
    <t>Platta fotbåge 50</t>
  </si>
  <si>
    <t>Fotbåge U-form Stål 45</t>
  </si>
  <si>
    <t>Fotbåge V-form 36 förlängd</t>
  </si>
  <si>
    <t>3611136X</t>
  </si>
  <si>
    <t>Fotbåge V-form 39 förlängd</t>
  </si>
  <si>
    <t>3611139X</t>
  </si>
  <si>
    <t>Fotbåge V-form 42 förlängd</t>
  </si>
  <si>
    <t>3611142X</t>
  </si>
  <si>
    <t>Fotbåge V-form 45 förlängd</t>
  </si>
  <si>
    <t>Fotbåge V-form 50 förlängd</t>
  </si>
  <si>
    <t>Fotbåge V form 33 u.hälbåge S-serie</t>
  </si>
  <si>
    <t>Fotbåge V form 36 u.hälbåge S-serie</t>
  </si>
  <si>
    <t>Fotbåge V form 39 u.hälbåge S-serie</t>
  </si>
  <si>
    <t>Fotbåge V form 42 u.hälbåge S-serie</t>
  </si>
  <si>
    <t>Fotbåge V form 45 u.hälbåge S-serie</t>
  </si>
  <si>
    <t>Innerklämma U2-broms</t>
  </si>
  <si>
    <t>Sänkningskit enhandsbroms</t>
  </si>
  <si>
    <t>Knopp enhandsbroms</t>
  </si>
  <si>
    <t>Enhandsbroms 30-33 höger</t>
  </si>
  <si>
    <t>Enhandsbroms 36-39 höger</t>
  </si>
  <si>
    <t>Enhandsbroms 42-45 höger</t>
  </si>
  <si>
    <t>Enhandsbroms 30-33 vänster</t>
  </si>
  <si>
    <t>Enhandsbroms 36-39 vänster</t>
  </si>
  <si>
    <t>Enhandsbroms 42-45 vänster</t>
  </si>
  <si>
    <t>Fotbåge U-form 33 för U-serie kpl</t>
  </si>
  <si>
    <t>3691533X</t>
  </si>
  <si>
    <t>Fotbåge U-form 36 för U serie kpl</t>
  </si>
  <si>
    <t>3691536X</t>
  </si>
  <si>
    <t>Fotbåge U-form 39 för U serie kpl</t>
  </si>
  <si>
    <t>3691539X</t>
  </si>
  <si>
    <t>Fotbåge U-form 42 för U serie kpl</t>
  </si>
  <si>
    <t>3691542X</t>
  </si>
  <si>
    <t>Fotbåge U-form 45 för U serie kpl</t>
  </si>
  <si>
    <t>Fotbåge U-form 50 för U serie kpl</t>
  </si>
  <si>
    <t>Fotbåge U-form 33 liten hälbåge U</t>
  </si>
  <si>
    <t>Fotbåge U-form 36 liten hälbåge U</t>
  </si>
  <si>
    <t>Fotbåge U-form 39 liten hälbåge U</t>
  </si>
  <si>
    <t>Fotbåge U-form 42 liten hälbåge U</t>
  </si>
  <si>
    <t>Fotbåge U-form 45 liten hälbåge U</t>
  </si>
  <si>
    <t>nytt art nr ( Jonas )</t>
  </si>
  <si>
    <t>Kardborre självhäftande klippt</t>
  </si>
  <si>
    <t>Vadband X 33 bred</t>
  </si>
  <si>
    <t>Vadband X 42 bred</t>
  </si>
  <si>
    <t>Vadband X 45 bred</t>
  </si>
  <si>
    <t>Vadband Panthera 30</t>
  </si>
  <si>
    <t>Vadband Panthera 33</t>
  </si>
  <si>
    <t>Vadband Panthera 36</t>
  </si>
  <si>
    <t>Vadband Panthera 39</t>
  </si>
  <si>
    <t>Vadband Panthera 42</t>
  </si>
  <si>
    <t>Vadband Panthera 45</t>
  </si>
  <si>
    <t>Vadband Panthera 50</t>
  </si>
  <si>
    <t>Hälband höger 33-36</t>
  </si>
  <si>
    <t>Hälband vänster 33-36</t>
  </si>
  <si>
    <t>Hälband par 33-36</t>
  </si>
  <si>
    <t>Hälband höger 39-42</t>
  </si>
  <si>
    <t>Hälband vänster 39-42</t>
  </si>
  <si>
    <t>Hälband par 39-42</t>
  </si>
  <si>
    <t>Hälband höger 45</t>
  </si>
  <si>
    <t>Hälband vänster 45</t>
  </si>
  <si>
    <t>Hälband par 45</t>
  </si>
  <si>
    <t>Hälband höger 50</t>
  </si>
  <si>
    <t>Hälband vänster 50</t>
  </si>
  <si>
    <t>Hälband par 50</t>
  </si>
  <si>
    <t xml:space="preserve">Hälband br33-36 kpl höger </t>
  </si>
  <si>
    <t xml:space="preserve">Hälband br33-36 kpl vänster  </t>
  </si>
  <si>
    <t xml:space="preserve">Hälband br39-42 kpl höger   </t>
  </si>
  <si>
    <t>Hälband br39-42 kpl vänster</t>
  </si>
  <si>
    <t>Hälband br45 kpl höger</t>
  </si>
  <si>
    <t>Hälband br45 kpl vänster</t>
  </si>
  <si>
    <t>Hälband br50 kpl höger</t>
  </si>
  <si>
    <t>Hälband br50 kpl vänster</t>
  </si>
  <si>
    <t>Skena sits</t>
  </si>
  <si>
    <t>Överdrag skena sits</t>
  </si>
  <si>
    <t>Skena sits B3 vänster</t>
  </si>
  <si>
    <t>Skena sits B3 höger</t>
  </si>
  <si>
    <t>Skena sits B3 Kort vänster</t>
  </si>
  <si>
    <t>Skena sits B3 Kort  höger</t>
  </si>
  <si>
    <t>Monteringssats fotplatta Bambino</t>
  </si>
  <si>
    <t>Fotplatta X special CARBON</t>
  </si>
  <si>
    <t>Rygglås mellanbit</t>
  </si>
  <si>
    <t>Rygglåsexcenter S3</t>
  </si>
  <si>
    <t>Rygglåstapp S3</t>
  </si>
  <si>
    <t>Rygglås S3 kpl 24 bredd</t>
  </si>
  <si>
    <t>Rygglås S3 kpl 27 bredd</t>
  </si>
  <si>
    <t>Rygglås S3 kpl 30 bredd</t>
  </si>
  <si>
    <t>Rygglås S3 kpl 33 bredd</t>
  </si>
  <si>
    <t>Rygglås S3 kpl 36 bredd</t>
  </si>
  <si>
    <t>Rygglås S3 kpl 39 bredd</t>
  </si>
  <si>
    <t>Rygglås S3 kpl 42 bredd</t>
  </si>
  <si>
    <t>Rygglås S3 kpl 45 bredd</t>
  </si>
  <si>
    <t>Rygglås S3 kpl 50 bredd</t>
  </si>
  <si>
    <t>Armkrok X Par</t>
  </si>
  <si>
    <t>Armkrok X styck</t>
  </si>
  <si>
    <t>Körbåge Micro kpl</t>
  </si>
  <si>
    <t>Gummiöverdrag körbåge</t>
  </si>
  <si>
    <t>Gummiöverdrag körbåge S3 30</t>
  </si>
  <si>
    <t>Gummiöverdrag körbåge S3 33</t>
  </si>
  <si>
    <t>Gummiöverdrag körbåge S3 36</t>
  </si>
  <si>
    <t>Gummiöverdrag körbåge S3 39</t>
  </si>
  <si>
    <t>Gummiöverdrag körbåge S3 42</t>
  </si>
  <si>
    <t>Gummiöverdrag körbåge S3 45</t>
  </si>
  <si>
    <t>Gummiöverdrag körbåge S3 50</t>
  </si>
  <si>
    <t>Gummiöverdrag körbåge S3 48</t>
  </si>
  <si>
    <t>Mutter slide M6</t>
  </si>
  <si>
    <t xml:space="preserve">Körbåge B3 kpl </t>
  </si>
  <si>
    <t>Körbåge B3 utan positionklämmor</t>
  </si>
  <si>
    <t>Överdrag grepp körbåge B3 par</t>
  </si>
  <si>
    <t>Lås för lock körbåge B3</t>
  </si>
  <si>
    <t>Positionsklämma körbåge B3 kpl par</t>
  </si>
  <si>
    <t>Extender körbåge B3 kpl.</t>
  </si>
  <si>
    <t>Monteringssats fotplatta B3</t>
  </si>
  <si>
    <t>Anti-halktejp B3 br 24</t>
  </si>
  <si>
    <t>Anti-halktejp B3 br 27</t>
  </si>
  <si>
    <t>Anti-halktejp B3 br 30</t>
  </si>
  <si>
    <t>Anti-halktejp B3 br 33</t>
  </si>
  <si>
    <t>Fotplatta B3 Sida kpl vänster</t>
  </si>
  <si>
    <t>Fotplatta B3 Sida kpl höger</t>
  </si>
  <si>
    <t>Vridbart stag B3</t>
  </si>
  <si>
    <t>Hälband B3 höger</t>
  </si>
  <si>
    <t>Hälband B3 vänster</t>
  </si>
  <si>
    <t>Alu-profil FW-förstärkning B3 24</t>
  </si>
  <si>
    <t>Alu-profil FW-förstärkning B3 27</t>
  </si>
  <si>
    <t>Alu-profil FW-förstärkning B3 30</t>
  </si>
  <si>
    <t>Alu-profil FW-förstärkning B3 33</t>
  </si>
  <si>
    <t>Klämma B3 Sida kpl vänster</t>
  </si>
  <si>
    <t>Klämma B3 Sida kpl höger</t>
  </si>
  <si>
    <t xml:space="preserve">Fotplatta B3 br 24 kpl </t>
  </si>
  <si>
    <t>Fotplatta B3 br 27 kpl</t>
  </si>
  <si>
    <t>Fotplatta B3 br 30 kpl</t>
  </si>
  <si>
    <t>Fotplatta B3 br 33 kpl</t>
  </si>
  <si>
    <t>Förstärkning kit till FW B3 br 27</t>
  </si>
  <si>
    <t>Förstärkning kit till FW B3 br 30</t>
  </si>
  <si>
    <t>Förstärkning kit till FW B3 br 33</t>
  </si>
  <si>
    <t>Fotplatta B3 br 24 kpl (utan sidor)</t>
  </si>
  <si>
    <t>Fotplatta B3 br 27 kpl (utan sidor)</t>
  </si>
  <si>
    <t>Fotplatta B3 br 30 kpl (utan sidor)</t>
  </si>
  <si>
    <t>Fotplatta B3 br 33 kpl (utan sidor)</t>
  </si>
  <si>
    <t>Sidoskydd B3 kpl par</t>
  </si>
  <si>
    <t>Sidoskydd B3 20-24" vänster</t>
  </si>
  <si>
    <t>Sidoskydd B3 20-24"  höger</t>
  </si>
  <si>
    <t>Sidoskydd B3 vä m. propp u. fh-del</t>
  </si>
  <si>
    <t>Sidoskydd B3 hö m. propp u. fh-del</t>
  </si>
  <si>
    <t xml:space="preserve">Armstöd B3 kpl vänster </t>
  </si>
  <si>
    <t>Armstöd B3 kpl höger</t>
  </si>
  <si>
    <t>Sidoskydd B3 kort kpl par</t>
  </si>
  <si>
    <t>Sidoskydd förhöjningdel B3 vänster</t>
  </si>
  <si>
    <t>Sidoskydd förhöjningdel B3 höger</t>
  </si>
  <si>
    <t>Sittbreddsadapter Sidoskydd B3 par</t>
  </si>
  <si>
    <t>Sittbreddsadapter Sidoskydd B3 vä</t>
  </si>
  <si>
    <t>Sittbreddsadapter Sidoskydd B3 hö</t>
  </si>
  <si>
    <t>Täckpropp sidoskydd B3 vänster</t>
  </si>
  <si>
    <t>Täckpropp sidoskydd B3 höger</t>
  </si>
  <si>
    <t xml:space="preserve">Fäste armstödsjustering B3 </t>
  </si>
  <si>
    <t>Bålstöd justerbart kpl st</t>
  </si>
  <si>
    <t xml:space="preserve">Bålstöd justerbart </t>
  </si>
  <si>
    <t>Bålstöd Bussning</t>
  </si>
  <si>
    <t>Låskloss bålstöd</t>
  </si>
  <si>
    <t>Bricka sadel B3</t>
  </si>
  <si>
    <t>4240027 VER2</t>
  </si>
  <si>
    <t>Körbåge S3 H/S br27cm kpl</t>
  </si>
  <si>
    <t>4240030 VER2</t>
  </si>
  <si>
    <t>Körbåge S3 H/S br30cm kpl</t>
  </si>
  <si>
    <t>4240033 VER2</t>
  </si>
  <si>
    <t>Körbåge S3 H/S br33cm kpl</t>
  </si>
  <si>
    <t>4240036 VER2</t>
  </si>
  <si>
    <t>Körbåge S3 H/S br36cm kpl</t>
  </si>
  <si>
    <t>4240039 VER2</t>
  </si>
  <si>
    <t>Körbåge S3 H/S br39cm kpl</t>
  </si>
  <si>
    <t>4240042 VER2</t>
  </si>
  <si>
    <t>Körbåge S3 H/S br42cm kpl</t>
  </si>
  <si>
    <t>4240045 VER2</t>
  </si>
  <si>
    <t>Körbåge S3 H/S br45cm kpl</t>
  </si>
  <si>
    <t>4240050 VER2</t>
  </si>
  <si>
    <t>Körbåge S3 H/S br50cm kpl</t>
  </si>
  <si>
    <t>4240127 VER2</t>
  </si>
  <si>
    <t>Körbåge S3 H/S -10cm br27cm kpl</t>
  </si>
  <si>
    <t>4240130 VER2</t>
  </si>
  <si>
    <t>Körbåge S3 H/S -10cm br30cm kpl</t>
  </si>
  <si>
    <t>4240133 VER2</t>
  </si>
  <si>
    <t>Körbåge S3 H/S -10cm br33cm kpl</t>
  </si>
  <si>
    <t>4240136 VER2</t>
  </si>
  <si>
    <t>Körbåge S3 H/S -10cm br36cm kpl</t>
  </si>
  <si>
    <t>4240139 VER2</t>
  </si>
  <si>
    <t>Körbåge S3 H/S -10cm br39cm kpl</t>
  </si>
  <si>
    <t>4240142 VER2</t>
  </si>
  <si>
    <t>Körbåge S3 H/S -10cm br42cm kpl</t>
  </si>
  <si>
    <t>4240145 VER2</t>
  </si>
  <si>
    <t>Körbåge S3 H/S -10cm br45cm kpl</t>
  </si>
  <si>
    <t>4240150 VER2</t>
  </si>
  <si>
    <t>Körbåge S3 H/S -10cm br50cm kpl</t>
  </si>
  <si>
    <t>Körbåge S3 H/S br27cm u. fäste</t>
  </si>
  <si>
    <t>Körbåge S3 H/S br30cm u. fäste</t>
  </si>
  <si>
    <t>Körbåge S3 H/S br33cm u. fäste</t>
  </si>
  <si>
    <t>Körbåge S3 H/S br36cm u. fäste</t>
  </si>
  <si>
    <t>Körbåge S3 H/S br39cm u. fäste</t>
  </si>
  <si>
    <t>Körbåge S3 H/S br42cm u. fäste</t>
  </si>
  <si>
    <t>Körbåge S3 H/S br45cm u. fäste</t>
  </si>
  <si>
    <t>Körbåge S3 H/S br50cm u. fäste</t>
  </si>
  <si>
    <t>Rör handtag körbåge S3 24 U.gummi</t>
  </si>
  <si>
    <t>Rör handtag körbåge S3 27 U.gummi</t>
  </si>
  <si>
    <t>Rör handtag körbåge S3 30 U.gummi</t>
  </si>
  <si>
    <t>Rör handtag körbåge S3 33 U.gummi</t>
  </si>
  <si>
    <t>Rör handtag körbåge S3 42 U.gummi</t>
  </si>
  <si>
    <t>Rör handtag körbåge S3 45 U.gummi</t>
  </si>
  <si>
    <t>Rör handtag körbåge S3 50 U.gummi</t>
  </si>
  <si>
    <t>Rör handtag körbåge S3 27 m.gummi</t>
  </si>
  <si>
    <t>Körbåge S3 H/S -10cm br27cm u.fäste</t>
  </si>
  <si>
    <t>Körbåge S3 H/S -10cm br30cm u.fäste</t>
  </si>
  <si>
    <t>Körbåge S3 H/S -10cm br33cm u.fäste</t>
  </si>
  <si>
    <t>Körbåge S3 H/S -10cm br36cm u.fäste</t>
  </si>
  <si>
    <t>Körbåge S3 H/S -10cm br39cm u.fäste</t>
  </si>
  <si>
    <t>Körbåge S3 H/S -10cm br42cm u.fäste</t>
  </si>
  <si>
    <t>Körbåge S3 H/S -10cm br45cm u.fäste</t>
  </si>
  <si>
    <t>Körbåge S3 H/S -10cm br50cm u.fäste</t>
  </si>
  <si>
    <t>Körhandtag fällbart S3  kpl. par</t>
  </si>
  <si>
    <t>Körhandtag fällbart  S3 kpl. st.</t>
  </si>
  <si>
    <t>Körhandtagsfäste Höger för bålstöd</t>
  </si>
  <si>
    <t>Fäste körhandtag bålstöd kpl par</t>
  </si>
  <si>
    <t>Körhandtagsfäste Körbåge Micro</t>
  </si>
  <si>
    <t>Rör körhandtag S3 H/S vänster</t>
  </si>
  <si>
    <t>Körhandtag S3 H/S par kpl</t>
  </si>
  <si>
    <t>Körhandtag S3 H/S  Vänster</t>
  </si>
  <si>
    <t>Körhandtag S3 H/S höger</t>
  </si>
  <si>
    <t>Körhandtag S3 H/S +10 par kpl</t>
  </si>
  <si>
    <t>Körhandtag S3 H/S vä+10(utan fäste)</t>
  </si>
  <si>
    <t>Körhandtag S3 H/S hö+10(utan fäste)</t>
  </si>
  <si>
    <t>Körhandtag M3 H/S vä+20(utan fäste)</t>
  </si>
  <si>
    <t>Körhandtag M3 H/S hö+20(utan fäste)</t>
  </si>
  <si>
    <t>Ändplugg Körhandtag S3 vänster</t>
  </si>
  <si>
    <t>Ändplugg Körhandtag S3 höger</t>
  </si>
  <si>
    <t>Knapp Körhandtag S3 vänster</t>
  </si>
  <si>
    <t>Knapp Körhandtag S3 höger</t>
  </si>
  <si>
    <t>4252161 VER2</t>
  </si>
  <si>
    <t>Körhandtag S3 H/S Vänster KPL</t>
  </si>
  <si>
    <t>4252162 VER2</t>
  </si>
  <si>
    <t>Körhandtag S3 H/S Höger KPL</t>
  </si>
  <si>
    <t>Körhandtag S3 H/S Vänster KPL +10</t>
  </si>
  <si>
    <t>4252164 VER2</t>
  </si>
  <si>
    <t>4252165 VER2</t>
  </si>
  <si>
    <t>Körhandtag S3 H/S  höger kpl +10</t>
  </si>
  <si>
    <t>Körhandtag M3 H/S Vänster KPL +20</t>
  </si>
  <si>
    <t>Körhandtag M3 H/S Höger KPL +20</t>
  </si>
  <si>
    <t>Ändpropp H/S körhandtag S3 höger</t>
  </si>
  <si>
    <t>Ändpropp H/S körhandtag S3 vänster</t>
  </si>
  <si>
    <t>Klack HS körhandtag S3</t>
  </si>
  <si>
    <t>Fäste HS körhandtag S3 kpl par</t>
  </si>
  <si>
    <t>4252301 VER2</t>
  </si>
  <si>
    <t>Fäste HS körhandtag S3 kpl Vänster</t>
  </si>
  <si>
    <t>4252302 VER2</t>
  </si>
  <si>
    <t>Fäste HS körhandtag S3 kpl Höger</t>
  </si>
  <si>
    <t>1,2x10x30 Fjäder</t>
  </si>
  <si>
    <t>Kryckkäppsfjäder enkel plast</t>
  </si>
  <si>
    <t>Tippskydd S3 par</t>
  </si>
  <si>
    <t>Tippskydd S3 höger</t>
  </si>
  <si>
    <t>Tippskydd S3 vänster</t>
  </si>
  <si>
    <t>Tipphjul S3 komplett</t>
  </si>
  <si>
    <t>Tippskydd S3 höger Large</t>
  </si>
  <si>
    <t>Tippskydd S3 vänster Large</t>
  </si>
  <si>
    <t>Hjulrör S3 kpl</t>
  </si>
  <si>
    <t>Tippskydd S3 +30 par</t>
  </si>
  <si>
    <t>Tippskydd S3 +30 vänster</t>
  </si>
  <si>
    <t>Tippskydd S3 +30 höger</t>
  </si>
  <si>
    <t>Tippskydd S3 +60 par</t>
  </si>
  <si>
    <t>Tippskydd S3 +60 Vänster</t>
  </si>
  <si>
    <t>Tippskydd S3 +60 höger</t>
  </si>
  <si>
    <t>Tippskydd S3  Large par</t>
  </si>
  <si>
    <t>Tippskydd S3 Large +30 Vänster</t>
  </si>
  <si>
    <t>Tippskydd S3 Large +30 Höger</t>
  </si>
  <si>
    <t>Tippskydd S3 Large +30 par</t>
  </si>
  <si>
    <t>Knapp tippskydd S3 låg profil</t>
  </si>
  <si>
    <t>Knapp / vred tippskydd S3</t>
  </si>
  <si>
    <t>Låsmutter Tippskydd S3</t>
  </si>
  <si>
    <t>Låstapp tippskydd S3 DL2040</t>
  </si>
  <si>
    <t>4353125X</t>
  </si>
  <si>
    <t xml:space="preserve">Låstapp tippskydd S3 Utan Dri-Loc </t>
  </si>
  <si>
    <t>Tipprör S3 höger</t>
  </si>
  <si>
    <t>Tipprör S3 Vänster</t>
  </si>
  <si>
    <t>Tipprör S3 Large höger</t>
  </si>
  <si>
    <t>Tipprör S3 Large vänster</t>
  </si>
  <si>
    <t>Tipprör S3 (+30) Vänster</t>
  </si>
  <si>
    <t>Tipprör S3 (+30) Höger</t>
  </si>
  <si>
    <t>Tipprör S3 (+60) vänster</t>
  </si>
  <si>
    <t>Tipprör S3 (+60) Höger</t>
  </si>
  <si>
    <t>Tippskydd B3 kpl par</t>
  </si>
  <si>
    <t>Tippskydd B3 kpl vänster</t>
  </si>
  <si>
    <t>Tippskydd B3 kpl höger</t>
  </si>
  <si>
    <t>Tipprör B3 vänster</t>
  </si>
  <si>
    <t>Tipprör B3 Höger</t>
  </si>
  <si>
    <t>Tippskydd B3 +30 par</t>
  </si>
  <si>
    <t>Tippskydd B3 +30 vänster</t>
  </si>
  <si>
    <t>Tippskydd B3 +30 höger</t>
  </si>
  <si>
    <t>Tipprör B3 +30 Vänster</t>
  </si>
  <si>
    <t>Tipprör B3 +30 Höger</t>
  </si>
  <si>
    <t>Exchange Kit tippskydd B3</t>
  </si>
  <si>
    <t>Tippskydd S3 Låg +30 par</t>
  </si>
  <si>
    <t>Tippskydd S3 Låg +30 vä</t>
  </si>
  <si>
    <t>Tippskydd S3 Låg +30 hö</t>
  </si>
  <si>
    <t xml:space="preserve">Tippskydd X kpl par </t>
  </si>
  <si>
    <t>Tippskydd X kpl vä</t>
  </si>
  <si>
    <t>Tippskydd X kpl hö</t>
  </si>
  <si>
    <t xml:space="preserve"> Tippskydd X vänster kit 1</t>
  </si>
  <si>
    <t xml:space="preserve"> Tippskydd X höger kit 1</t>
  </si>
  <si>
    <t xml:space="preserve"> Tippskydd X kit 2</t>
  </si>
  <si>
    <t>Fäste tippskydd X3 Kpl, höger</t>
  </si>
  <si>
    <t xml:space="preserve">Fäste tippskydd X3, höger </t>
  </si>
  <si>
    <t>Klämma Tippskydd X3</t>
  </si>
  <si>
    <t>Överfall Tippskydd X3</t>
  </si>
  <si>
    <t>Fäste tippskydd X3 Kpl, vänster</t>
  </si>
  <si>
    <t>Fäste tippskydd X3, vänster</t>
  </si>
  <si>
    <t>Tippskydd S3 Låg kpl par</t>
  </si>
  <si>
    <t>Tippskydd S3 Låg kpl vä</t>
  </si>
  <si>
    <t>Tippskydd S3 Låg kpl hö</t>
  </si>
  <si>
    <t>Stag 5 spår FW för B3</t>
  </si>
  <si>
    <t>Monteringssats Profil FW för B3</t>
  </si>
  <si>
    <t xml:space="preserve">Monteringssats Stag FW för B3 </t>
  </si>
  <si>
    <t>Klämma Ovan Micro (basketstol)</t>
  </si>
  <si>
    <t>Klämma Under Micro (basketstol)</t>
  </si>
  <si>
    <t>Mellanbit Micro (Basketstol)</t>
  </si>
  <si>
    <t xml:space="preserve">Bakaxel Micro 3 kpl 24 </t>
  </si>
  <si>
    <t>Bakaxel Micro 3 kpl 27</t>
  </si>
  <si>
    <t>Fotplatta Micro 3 24cm kpl</t>
  </si>
  <si>
    <t>Fotplatta Micro 3 27cm kpl</t>
  </si>
  <si>
    <t>Fotplatta micro 24 cm</t>
  </si>
  <si>
    <t>Fotplatta micro 27 cm</t>
  </si>
  <si>
    <t>Fotplatta micro 24 cm kpl</t>
  </si>
  <si>
    <t>Fotplatta micro 27 cm kpl</t>
  </si>
  <si>
    <t>Fästplåt fotplatta micro</t>
  </si>
  <si>
    <t>Tippskydd micro 24 18" komplett</t>
  </si>
  <si>
    <t>Tippskydd micro 27 18" komplett</t>
  </si>
  <si>
    <t>Hjul tippskydd micro</t>
  </si>
  <si>
    <t>Bussning tippskyddshjul micro</t>
  </si>
  <si>
    <t>Tippskydd micro 27 20" komplett</t>
  </si>
  <si>
    <t>Bålstrapp Micro 24 cm</t>
  </si>
  <si>
    <t>Bålstrapp Micro 27 cm</t>
  </si>
  <si>
    <t>Bålstrapp Bambino</t>
  </si>
  <si>
    <t>Tippskydd Micro 3 24 20" kpl</t>
  </si>
  <si>
    <t>Tippskydd Micro 3 27 20" kpl</t>
  </si>
  <si>
    <t>Plåt rygglås Bambino</t>
  </si>
  <si>
    <t>4380303X</t>
  </si>
  <si>
    <t>Ryggförlängare B3</t>
  </si>
  <si>
    <t>Nyckelring rygglås RF 16 x 1,6 mm</t>
  </si>
  <si>
    <t>Fjäder rygglås Bambino RF</t>
  </si>
  <si>
    <t>Rygglåsvajer S3/U3 24</t>
  </si>
  <si>
    <t>Rygglåsvajer S3/U3 27</t>
  </si>
  <si>
    <t>Rygglåsvajer S3/U3 30</t>
  </si>
  <si>
    <t>Rygglåsvajer S3/U3 33</t>
  </si>
  <si>
    <t>Rygglåsvajer S3/U3 36</t>
  </si>
  <si>
    <t>Rygglåsvajer S3/U3 39</t>
  </si>
  <si>
    <t>Rygglåsvajer S3/U3 42</t>
  </si>
  <si>
    <t>Rygglåsvajer S3/U3 45</t>
  </si>
  <si>
    <t>Rygglåsvajer S3/U3 50</t>
  </si>
  <si>
    <t>Fotplatta Micro 3 24cm</t>
  </si>
  <si>
    <t>Fotplatta Micro 3 27cm</t>
  </si>
  <si>
    <t>Anti-halk tejp Micro 3 24cm</t>
  </si>
  <si>
    <t>Stag vändbart fotplatta Micro 3</t>
  </si>
  <si>
    <t>Mutter fotplatta Micro 3</t>
  </si>
  <si>
    <t>Anti-halk tejp Micro 3 27cm</t>
  </si>
  <si>
    <t>Bussning S3 Swing plast</t>
  </si>
  <si>
    <t>Låskit chassi fram inner S3 Swing</t>
  </si>
  <si>
    <t>Låskit chassi fram ytter S3 Swing</t>
  </si>
  <si>
    <t>Benstöd Swing S3 vä utan fotplatta</t>
  </si>
  <si>
    <t>Benstöd Swing S3 hö utan fotplatta</t>
  </si>
  <si>
    <t>Benstöd Swing S3 vänster kpl 33/36</t>
  </si>
  <si>
    <t>Benstöd Swing S3 höger kpl 33/36</t>
  </si>
  <si>
    <t>Benstöd Swing S3 vänster kpl 39/42</t>
  </si>
  <si>
    <t>Benstöd Swing S3 höger kpl 39/42</t>
  </si>
  <si>
    <t>Benstöd Swing S3 vänster kpl 45</t>
  </si>
  <si>
    <t>Benstöd Swing S3 höger kpl 45</t>
  </si>
  <si>
    <t>Benstöd Swing S3 vänster kpl 50</t>
  </si>
  <si>
    <t>Benstöd Swing S3 höger kpl 50</t>
  </si>
  <si>
    <t>Benstöd swing S3 kpl par 33/36</t>
  </si>
  <si>
    <t>Benstöd swing S3 kpl par 39/42</t>
  </si>
  <si>
    <t>Benstöd swing S3 kpl par 45</t>
  </si>
  <si>
    <t>Benstöd swing S3 kpl par 50</t>
  </si>
  <si>
    <t>Benstöd swing S3 kpl par 45/50</t>
  </si>
  <si>
    <t>Sidoskydd Micro1 20 höger</t>
  </si>
  <si>
    <t>Sidoskydd Micro1 18 höger</t>
  </si>
  <si>
    <t>Sidoskydd plast Micro1 18 kpl par</t>
  </si>
  <si>
    <t>Sidoskydd plast Micro1 20 kpl par</t>
  </si>
  <si>
    <t>Sidoskydd M3 kpl med fäste par</t>
  </si>
  <si>
    <t>Sidoskydd Micro 3 vänster</t>
  </si>
  <si>
    <t>Sidoskydd Micro 3 höger</t>
  </si>
  <si>
    <t>Sidoskydd M3 kpl med fäste vänster</t>
  </si>
  <si>
    <t>Sidoskydd M3 kpl med fäste höger</t>
  </si>
  <si>
    <t>Rulle bak sidoskydd S3 för X3</t>
  </si>
  <si>
    <t>Rulle bak sidoskydd S3</t>
  </si>
  <si>
    <t>Mutter inside armstödsfäste S3</t>
  </si>
  <si>
    <t>Förhöjning armstöd S3 26" Höger</t>
  </si>
  <si>
    <t>Förhöjning armstöd S3 26" Vänster</t>
  </si>
  <si>
    <t>Täckpropp översida armstöd S3 par</t>
  </si>
  <si>
    <t>Täckpropp översida armstöd S3 VÄ</t>
  </si>
  <si>
    <t>Täckpropp översida armstöd S3 HÖ</t>
  </si>
  <si>
    <t>Armstöd S3/U3 24" kpl par</t>
  </si>
  <si>
    <t>Armstöd S3/U3 24" Vänster</t>
  </si>
  <si>
    <t>Armstöd S3/U3 24" Höger</t>
  </si>
  <si>
    <t>Täckskiva armstöd S3 24"kpl Vänster</t>
  </si>
  <si>
    <t>Täckskiva armstöd S3  24" kpl Höger</t>
  </si>
  <si>
    <t>Armstödsdyna inkl. profil vänster</t>
  </si>
  <si>
    <t>Armstödsdyna inkl. profil Höger</t>
  </si>
  <si>
    <t>Täckskiva S3 26" kpl Vänster</t>
  </si>
  <si>
    <t>Täckskiva S3 26" kpl Höger</t>
  </si>
  <si>
    <t>Gelplatta självhäft.190*50*10mm par</t>
  </si>
  <si>
    <t>Gelplatta självhäft.190*50*10mm st</t>
  </si>
  <si>
    <t>Armstöd S3/U3 26" kpl par</t>
  </si>
  <si>
    <t>Armstöd S3/U3 26" Vänster</t>
  </si>
  <si>
    <t>Armstöd S3/U3 26" Höger</t>
  </si>
  <si>
    <t>Armstöd B3 med sidoskydd kpl par</t>
  </si>
  <si>
    <t>Armstödsdyna B3 m profil vänster</t>
  </si>
  <si>
    <t>Armstödsdyna B3 m profil höger</t>
  </si>
  <si>
    <t>Armstöd B3 kort m sidoskydd kpl par</t>
  </si>
  <si>
    <t>Fäste armstöd S3 kpl par</t>
  </si>
  <si>
    <t xml:space="preserve">Fäste armstöd S3 kpl vä </t>
  </si>
  <si>
    <t>Fäste armstöd S3 kpl hö</t>
  </si>
  <si>
    <t>Fäste armstöd B3 kort kpl par</t>
  </si>
  <si>
    <t>Fäste armstöd B3 kort kpl vänster</t>
  </si>
  <si>
    <t>Fäste armstöd B3 kort kpl höger</t>
  </si>
  <si>
    <t>Sidoskydd S3 24" kpl par</t>
  </si>
  <si>
    <t>Sidoskydd S3 för S3/X 24-25" Vä</t>
  </si>
  <si>
    <t>Sidoskydd S3 för S3/X 24-25" Hö</t>
  </si>
  <si>
    <t>Sidoskydd S3 (X) 24" kpl par</t>
  </si>
  <si>
    <t>Sidoskydd S3 25" kpl par</t>
  </si>
  <si>
    <t>Sidoskydd S3 (X) 25" kpl par</t>
  </si>
  <si>
    <t xml:space="preserve">Sidoskydd S3 26" kpl par </t>
  </si>
  <si>
    <t>Sidoskydd S3 för S3/X 26" Vä</t>
  </si>
  <si>
    <t>Sidoskydd S3 för S3/X 26" Hö</t>
  </si>
  <si>
    <t xml:space="preserve">Sidoskydd S3 (X) 26" kpl par </t>
  </si>
  <si>
    <t>Planad mutter armstöd S3</t>
  </si>
  <si>
    <t>Mellanbit armstödsklämma</t>
  </si>
  <si>
    <t>Fäste sidoskydd 1 S3 fram(bak24")st</t>
  </si>
  <si>
    <t>Fäste sidoskydd 3 S3 bak 24" st</t>
  </si>
  <si>
    <t>Fäste sidoskydd 2 S3 bak vä25-26"st</t>
  </si>
  <si>
    <t>Fäste sidoskydd 2 S3 bak hö25-26"st</t>
  </si>
  <si>
    <t>Fäste sidoskydd 4 S3 bak vä25-26"st</t>
  </si>
  <si>
    <t>Fäste sidoskydd 4 S3 bak hö25-26"st</t>
  </si>
  <si>
    <t>Fäste sidoskydd 6 X bak vä 24" st</t>
  </si>
  <si>
    <t>Fäste sidoskydd 6 X bak hö 24" st</t>
  </si>
  <si>
    <t>Fäste sidoskydd 7 X bak vä 25-26"st</t>
  </si>
  <si>
    <t>Fäste sidoskydd 7 X bak hö 25-26"st</t>
  </si>
  <si>
    <t>Fäste sidoskydd 8 X bak vä 24" st</t>
  </si>
  <si>
    <t>Fäste sidoskydd 8 X bak hö 24" st</t>
  </si>
  <si>
    <t>Fäste sidoskydd 9 X bak vä 25-26"st</t>
  </si>
  <si>
    <t>Fäste sidoskydd 9 X bak hö 25-26"st</t>
  </si>
  <si>
    <t>Fäste sidoskydd Micro (par)</t>
  </si>
  <si>
    <t>Fäste sidoskydd Micro (st)</t>
  </si>
  <si>
    <t>Bussning mutter sidoskydd</t>
  </si>
  <si>
    <t>Fästplåt 26" höger</t>
  </si>
  <si>
    <t>Fästplåt 26" vänster</t>
  </si>
  <si>
    <t>Fäste sidoskydd 5 X fram vä st</t>
  </si>
  <si>
    <t xml:space="preserve">Fäste sidoskydd 5 X fram hö st </t>
  </si>
  <si>
    <t>Infästbleck Sidoskydd F</t>
  </si>
  <si>
    <t>Infästbleck Sidoskydd G</t>
  </si>
  <si>
    <t>Infästbleck Sidoskydd A</t>
  </si>
  <si>
    <t>Infästbleck Sidoskydd B</t>
  </si>
  <si>
    <t>Infästbleck Sidoskydd C</t>
  </si>
  <si>
    <t xml:space="preserve">Sidoskydd u.skärm S3 24" kpl par </t>
  </si>
  <si>
    <t>Sidoskydd u.skärm S3/X 24-25" Vä</t>
  </si>
  <si>
    <t>Sidoskydd u.skärm S3/X 24-25" Hö</t>
  </si>
  <si>
    <t>Sidoskydd u.skärm X 24" kpl par</t>
  </si>
  <si>
    <t>Sidoskydd u.skärm S3 25" kpl par</t>
  </si>
  <si>
    <t>Sidoskydd u.skärm X 25" kpl par</t>
  </si>
  <si>
    <t>Sidoskydd u.skärm S3 26" kpl par</t>
  </si>
  <si>
    <t>Sidoskydd u.skärm S3 26" Vä</t>
  </si>
  <si>
    <t>Sidoskydd u.skärm S3 26" Hö</t>
  </si>
  <si>
    <t>Sidoskydd u.skärm X 26" kpl par</t>
  </si>
  <si>
    <t>Sidoskydd u.skärm X 26" Vä</t>
  </si>
  <si>
    <t>Sidoskydd u.skärm X 26" Hö</t>
  </si>
  <si>
    <t>Sidoskydd liten skärm S3 24"kpl par</t>
  </si>
  <si>
    <t>Sidoskydd liten skärm S3/X 24-25"Vä</t>
  </si>
  <si>
    <t>Sidoskydd liten skärm S3/X 24-25"Hö</t>
  </si>
  <si>
    <t>Sidoskydd liten skärm X 24" kpl par</t>
  </si>
  <si>
    <t>Sidoskydd liten skärm S3 25"kpl par</t>
  </si>
  <si>
    <t>Sidoskydd liten skärm X 25" kpl par</t>
  </si>
  <si>
    <t>Sidoskydd liten skärm S3 26"kpl par</t>
  </si>
  <si>
    <t>Sidoskydd liten skärm S3 26" Vä</t>
  </si>
  <si>
    <t>Sidoskydd liten skärm S3 26" Hö</t>
  </si>
  <si>
    <t>Sidoskydd liten skärm X 26" kpl par</t>
  </si>
  <si>
    <t>Sidoskydd liten skärm X 26" Vä</t>
  </si>
  <si>
    <t>Sidoskydd liten skärm X 26" Hö</t>
  </si>
  <si>
    <t>Sidoskydd stor skärm S3 24" kpl par</t>
  </si>
  <si>
    <t>Sidoskydd stor skärm S3/X 24-25" Vä</t>
  </si>
  <si>
    <t>Sidoskydd stor skärm S3/X 24-25" Hö</t>
  </si>
  <si>
    <t>Sidoskydd stor skärm X 24" kpl par</t>
  </si>
  <si>
    <t>Sidoskydd stor skärm S3 25" kpl par</t>
  </si>
  <si>
    <t>Sidoskydd stor skärm X 25" kpl par</t>
  </si>
  <si>
    <t>Sidoskydd stor skärm S3 26" kpl par</t>
  </si>
  <si>
    <t>Sidoskydd stor skärm S3 26" Vä</t>
  </si>
  <si>
    <t>Sidoskydd stor skärm S3 26" Hö</t>
  </si>
  <si>
    <t>Sidoskydd stor skärm X 26" kpl par</t>
  </si>
  <si>
    <t>Sidoskydd stor skärm X 26" Vä</t>
  </si>
  <si>
    <t>Sidoskydd stor skärm X 26" Hö</t>
  </si>
  <si>
    <t>Ekerskydd 24" m tryck kpl par</t>
  </si>
  <si>
    <t>Ekerskydd 24" st m tryck</t>
  </si>
  <si>
    <t>Ekerskydd 24" kpl. par utan tryck</t>
  </si>
  <si>
    <t>Ekerskydd 24" st utan tryck</t>
  </si>
  <si>
    <t>Ekerskydd 18" st m tryck</t>
  </si>
  <si>
    <t>Ekerskydd 18" par m tryck</t>
  </si>
  <si>
    <t>Ekerskydd 20" st m tryck</t>
  </si>
  <si>
    <t>Ekerskydd 20" par m tryck</t>
  </si>
  <si>
    <t>Ekerskydd 22" m tryck kpl par</t>
  </si>
  <si>
    <t>Ekerskydd 22" st m tryck</t>
  </si>
  <si>
    <t>Ekerskydd 22" kpl. par utan tryck</t>
  </si>
  <si>
    <t>Ekerskydd 22" st utan tryck</t>
  </si>
  <si>
    <t>Ekerskydd motiv Bilfälg 20" par</t>
  </si>
  <si>
    <t>Ekerskydd motiv Bilfälg 22" par</t>
  </si>
  <si>
    <t>Ekerskydd motiv Bilfälg 24" par</t>
  </si>
  <si>
    <t>Ekerskydd motiv Smiley 20" par</t>
  </si>
  <si>
    <t>Ekerskydd motiv Smiley 22" par</t>
  </si>
  <si>
    <t>Ekerskydd motiv Smiley 24" par</t>
  </si>
  <si>
    <t>Ekerskydd motiv Splash 20" par</t>
  </si>
  <si>
    <t>Ekerskydd motiv Splash 22" par</t>
  </si>
  <si>
    <t>Ekerskydd motiv Splash 24" par</t>
  </si>
  <si>
    <t>Ekerskydd motiv Vilda djur 20" par</t>
  </si>
  <si>
    <t>Ekerskydd motiv Vilda djur 22" par</t>
  </si>
  <si>
    <t>Ekerskydd motiv Vilda djur 24" par</t>
  </si>
  <si>
    <t>Ekerskydd Hav Micro 18" Par</t>
  </si>
  <si>
    <t>Ekerskydd Hav Micro 20" Par</t>
  </si>
  <si>
    <t>Ekerskydd Bilar Micro 18" Par</t>
  </si>
  <si>
    <t>Ekerskydd Bilar Micro 20" Par</t>
  </si>
  <si>
    <t>Ekerskydd Vilda djur Micro 18" par</t>
  </si>
  <si>
    <t>Ekerskydd Vilda djur Micro 20" par</t>
  </si>
  <si>
    <t>Ekerskydd Splash Micro 18"par</t>
  </si>
  <si>
    <t>Ekerskydd Splash Micro 20"par</t>
  </si>
  <si>
    <t>Klämma standard</t>
  </si>
  <si>
    <t>Distans breddning 3 mm</t>
  </si>
  <si>
    <t>Broms Micro kpl par framflyttade</t>
  </si>
  <si>
    <t>Gångjärnsklämma</t>
  </si>
  <si>
    <t>Klämma enkel Bambino  (f.d. basket)</t>
  </si>
  <si>
    <t>Fästplåt Vårdarbroms</t>
  </si>
  <si>
    <t>T-skruv broms X</t>
  </si>
  <si>
    <t>Tvärstag br 33 broms X</t>
  </si>
  <si>
    <t>Tvärstag br 36 broms X</t>
  </si>
  <si>
    <t>Tvärstag br 39 broms X</t>
  </si>
  <si>
    <t>Tvärstag br 42 broms X</t>
  </si>
  <si>
    <t>Tvärstag br 45 broms X</t>
  </si>
  <si>
    <t>Bussning alu broms X3</t>
  </si>
  <si>
    <t>Dragfjäder SF-DFR 0,75x8x30 SS2331</t>
  </si>
  <si>
    <t>Enhandsbroms X 33 Vä</t>
  </si>
  <si>
    <t>Enhandsbroms X 33 Hö</t>
  </si>
  <si>
    <t>Enhandsbroms X 36 Vä</t>
  </si>
  <si>
    <t>Enhandsbroms X 36 Hö</t>
  </si>
  <si>
    <t>Enhandsbroms X 39 Vä</t>
  </si>
  <si>
    <t>Enhandsbroms X 39 Hö</t>
  </si>
  <si>
    <t>Enhandsbroms X 42 Vä</t>
  </si>
  <si>
    <t>Enhandsbroms X 42 Hö</t>
  </si>
  <si>
    <t>Enhandsbroms X 45 Vä</t>
  </si>
  <si>
    <t>Enhandsbroms X 45 Hö</t>
  </si>
  <si>
    <t>Broms S3  kpl par</t>
  </si>
  <si>
    <t>Broms S3  vänster</t>
  </si>
  <si>
    <t>Broms S3  höger</t>
  </si>
  <si>
    <t>Broms S3  framflyttad kpl par</t>
  </si>
  <si>
    <t>Broms S3  framflyttad vänster</t>
  </si>
  <si>
    <t>Broms S3  framflyttad höger</t>
  </si>
  <si>
    <t>Broms S3 m förlängd spak kpl par</t>
  </si>
  <si>
    <t>Broms S3 m förlängd spak vä</t>
  </si>
  <si>
    <t>Broms S3 m förlängd spak hö</t>
  </si>
  <si>
    <t>Broms S3 för X kpl par</t>
  </si>
  <si>
    <t>Broms S3 för X vänster</t>
  </si>
  <si>
    <t>Broms S3 för X höger</t>
  </si>
  <si>
    <t>Klämma yttre broms S3 vänster v2</t>
  </si>
  <si>
    <t>Klämma yttre broms S3 höger v2</t>
  </si>
  <si>
    <t xml:space="preserve">Klämma inre broms S3 </t>
  </si>
  <si>
    <t>Bromsblad BF broms S3 kpl par</t>
  </si>
  <si>
    <t>Bromsblad BF broms S3 vänster</t>
  </si>
  <si>
    <t>Bromsblad BF broms S3 höger</t>
  </si>
  <si>
    <t>Bromsblad S3 broms PU-däck</t>
  </si>
  <si>
    <t>Bromsblad S3 broms PU-däck SET</t>
  </si>
  <si>
    <t>Broms B3 kpl par</t>
  </si>
  <si>
    <t>Broms B3 kpl vänster</t>
  </si>
  <si>
    <t>Broms B3 kpl höger</t>
  </si>
  <si>
    <t>Klämma broms B3 inner</t>
  </si>
  <si>
    <t>Bromsblad B3 för PU-däck</t>
  </si>
  <si>
    <t xml:space="preserve">Bromsblad B3 broms PU-däck SET </t>
  </si>
  <si>
    <t xml:space="preserve">Bromsblad BF broms B3 </t>
  </si>
  <si>
    <t>Bromsblad BF broms B3 kpl par</t>
  </si>
  <si>
    <t>Broms B3 framflyttad kpl par</t>
  </si>
  <si>
    <t>Broms B3 framflyttad kpl vänster</t>
  </si>
  <si>
    <t>Broms B3 framflyttad kpl höger</t>
  </si>
  <si>
    <t>Rull-stopp Micro 3 par</t>
  </si>
  <si>
    <t>Låsarm rull-stopp</t>
  </si>
  <si>
    <t>Justermutter rull-stopp</t>
  </si>
  <si>
    <t>Rull-stopp Micro 3 kpl A</t>
  </si>
  <si>
    <t>Rull-stopp Micro 3 kpl B</t>
  </si>
  <si>
    <t>Ryggkil 12 cm</t>
  </si>
  <si>
    <t>Huvudstöd B3 blå kpl</t>
  </si>
  <si>
    <t>4710100BL</t>
  </si>
  <si>
    <t>Huvudstöd B3 svart kpl</t>
  </si>
  <si>
    <t>Bas huvudstöd B3 m. fästhake kpl</t>
  </si>
  <si>
    <t>Dyna huvudstöd B3 blå</t>
  </si>
  <si>
    <t>4710102BL</t>
  </si>
  <si>
    <t>Dyna huvudstöd B3 svart</t>
  </si>
  <si>
    <t>Fäste huvudstöd B3 kpl</t>
  </si>
  <si>
    <t>Platta Huvudstöd B3</t>
  </si>
  <si>
    <t>Fästhake huvudstöd B3 kit</t>
  </si>
  <si>
    <t xml:space="preserve">Klämma m. lås Huvudstöd B3 </t>
  </si>
  <si>
    <t>Tetra Q-R plåt</t>
  </si>
  <si>
    <t>Tetra Q-R Spox låsplåt stål</t>
  </si>
  <si>
    <t>Tetra Q-R Spox fästplåt AL</t>
  </si>
  <si>
    <t>Tetra Q-R SPOX kpl sats par</t>
  </si>
  <si>
    <t>Fjäder tetra Q-R RF</t>
  </si>
  <si>
    <t>Tetra QR Spider styck</t>
  </si>
  <si>
    <t>Lager 6801-2RS ABEC C3</t>
  </si>
  <si>
    <t>Lager 6802-2RS ABEC C3</t>
  </si>
  <si>
    <t>Radialtätning BA 18x24x3 NBR</t>
  </si>
  <si>
    <t>Klädselbricka Svart</t>
  </si>
  <si>
    <t>Bussning rygginfästning X</t>
  </si>
  <si>
    <t>Bult gaffel X</t>
  </si>
  <si>
    <t>Mutter gaffel X</t>
  </si>
  <si>
    <t>Mutterlock X</t>
  </si>
  <si>
    <t>4810136X</t>
  </si>
  <si>
    <t>Mutterlock X oanodiserat</t>
  </si>
  <si>
    <t>Radialtätningshållare X</t>
  </si>
  <si>
    <t>Länkhjulsinfästning innerhylsa X</t>
  </si>
  <si>
    <t>4810138X</t>
  </si>
  <si>
    <t>Länkhjulsinfästning innerhylsa X ej</t>
  </si>
  <si>
    <t>Helicoil Screwlock M6x9 Plus</t>
  </si>
  <si>
    <t>Ryggplugg övre X utan list</t>
  </si>
  <si>
    <t>Distans Gaffel X</t>
  </si>
  <si>
    <t>4810146C</t>
  </si>
  <si>
    <t>Ryggplugg övre X med list</t>
  </si>
  <si>
    <t>Bussning rygginfästning X3</t>
  </si>
  <si>
    <t>Mutter fotbåge X</t>
  </si>
  <si>
    <t>Mutter ryggbult,NV17 urtagen</t>
  </si>
  <si>
    <t>Nyckel mutterlock</t>
  </si>
  <si>
    <t>Halkskydd 10x45 R3</t>
  </si>
  <si>
    <t>Plåt sitsrem</t>
  </si>
  <si>
    <t>Rulle sidoskydd X invändig</t>
  </si>
  <si>
    <t>Rulle sidoskydd X utvändig</t>
  </si>
  <si>
    <t>Mutter sidoskyddsrulle X</t>
  </si>
  <si>
    <t>Fäste sidoskydd X bak Höger</t>
  </si>
  <si>
    <t>Rulle sidoskydd U2 light utvändig</t>
  </si>
  <si>
    <t>Rulle sidoskydd U2 light invändig</t>
  </si>
  <si>
    <t>Fäste sidoskydd X Bak Vänster</t>
  </si>
  <si>
    <t>Adapter plåt Sidoskydd X 26"</t>
  </si>
  <si>
    <t>Adapter plåt Tippskydd X-S2</t>
  </si>
  <si>
    <t>Fäste sidoskydd X3 bakre höger</t>
  </si>
  <si>
    <t xml:space="preserve">Fäste sidoskydd X3 bakre vänster </t>
  </si>
  <si>
    <t xml:space="preserve">Fäste sidoskydd X3 Främre Höger </t>
  </si>
  <si>
    <t>4813927P</t>
  </si>
  <si>
    <t>Fäste sidoskydd X3 Främre, profil</t>
  </si>
  <si>
    <t>Fäste sidoskydd X3 Främre Vänster</t>
  </si>
  <si>
    <t>Pump elektrisk uppladdningsbar</t>
  </si>
  <si>
    <t>Handpump mini svart</t>
  </si>
  <si>
    <t>Verktygssats X kpl</t>
  </si>
  <si>
    <t>Verktygssats Bambino kpl</t>
  </si>
  <si>
    <t>Verktygssats Micro kpl</t>
  </si>
  <si>
    <t>Verktygsväska hård kpl</t>
  </si>
  <si>
    <t>5010042G</t>
  </si>
  <si>
    <t>Rullstol S3 Förstärkt 42 svart</t>
  </si>
  <si>
    <t>5010042GP</t>
  </si>
  <si>
    <t>Rullstol S3 Förstärkt 42 olackerad</t>
  </si>
  <si>
    <t>Chassi S3 33 Grå reservdel</t>
  </si>
  <si>
    <t>5013340BL</t>
  </si>
  <si>
    <t>Chassi S3 33 svart reservdel</t>
  </si>
  <si>
    <t>5013340BLN</t>
  </si>
  <si>
    <t>Chassi S3 33 svart</t>
  </si>
  <si>
    <t>5013340N</t>
  </si>
  <si>
    <t>Chassi S3 33 Grå</t>
  </si>
  <si>
    <t>Chassi S3 36 Grå reservdel</t>
  </si>
  <si>
    <t>5013640BL</t>
  </si>
  <si>
    <t>Chassi S3 36 svart reservdel</t>
  </si>
  <si>
    <t>5013640BLN</t>
  </si>
  <si>
    <t>Chassi S3 36 svart</t>
  </si>
  <si>
    <t>5013640N</t>
  </si>
  <si>
    <t>Chassi S3 36 Grå</t>
  </si>
  <si>
    <t>Chassi S3 39 Grå reservdel</t>
  </si>
  <si>
    <t>5013940BL</t>
  </si>
  <si>
    <t>Chassi S3 39 svart reservdel</t>
  </si>
  <si>
    <t>5013940BLN</t>
  </si>
  <si>
    <t>Chassi S3 39 svart</t>
  </si>
  <si>
    <t>5013940N</t>
  </si>
  <si>
    <t>Chassi S3 39 Grå</t>
  </si>
  <si>
    <t>Chassi S3 42 Grå reservdel</t>
  </si>
  <si>
    <t>5014240BL</t>
  </si>
  <si>
    <t>Chassi S3 42 svart reservdel</t>
  </si>
  <si>
    <t>5014240BLN</t>
  </si>
  <si>
    <t>Chassi S3 42 svart</t>
  </si>
  <si>
    <t>5014240N</t>
  </si>
  <si>
    <t>Chassi S3 42 Grå</t>
  </si>
  <si>
    <t>Chassi S3 45 Grå reservdel</t>
  </si>
  <si>
    <t>5014540BL</t>
  </si>
  <si>
    <t>Chassi S3 45 svart reservdel</t>
  </si>
  <si>
    <t>5014540BLN</t>
  </si>
  <si>
    <t>Chassi S3 45 svart</t>
  </si>
  <si>
    <t>5014540N</t>
  </si>
  <si>
    <t>Chassi S3 45 Grå</t>
  </si>
  <si>
    <t>Chassi S3 50 Grå reservdel</t>
  </si>
  <si>
    <t>5015040BL</t>
  </si>
  <si>
    <t>Chassi S3 50 svart reservdel</t>
  </si>
  <si>
    <t>5015040BLN</t>
  </si>
  <si>
    <t>Chassi S3 50 svart</t>
  </si>
  <si>
    <t>5015040N</t>
  </si>
  <si>
    <t>Chassi S3 50 Grå</t>
  </si>
  <si>
    <t>5022740BL</t>
  </si>
  <si>
    <t>Chassi S3 Kort 27 svart reservdel</t>
  </si>
  <si>
    <t>Chassi S3 Kort 30 Grå reservdel</t>
  </si>
  <si>
    <t>5023040BL</t>
  </si>
  <si>
    <t>Chassi S3 Kort 30 svart reservdel</t>
  </si>
  <si>
    <t>5023040BLN</t>
  </si>
  <si>
    <t>Chassi S3 Kort 30 svart</t>
  </si>
  <si>
    <t>5023040N</t>
  </si>
  <si>
    <t>Chassi S3 Kort 30 Grå</t>
  </si>
  <si>
    <t>Chassi S3 Kort 33 Grå reservdel</t>
  </si>
  <si>
    <t>5023340BL</t>
  </si>
  <si>
    <t>Chassi S3 Kort 33 svart reservdel</t>
  </si>
  <si>
    <t>5023340BLN</t>
  </si>
  <si>
    <t>Chassi S3 Kort 33 svart</t>
  </si>
  <si>
    <t>5023340N</t>
  </si>
  <si>
    <t>Chassi S3 Kort 33 Grå</t>
  </si>
  <si>
    <t>Chassi S3 Kort 36 Grå reservdel</t>
  </si>
  <si>
    <t>5023640BL</t>
  </si>
  <si>
    <t>Chassi S3 Kort 36 svart reservdel</t>
  </si>
  <si>
    <t>5023640BLN</t>
  </si>
  <si>
    <t>Chassi S3 Kort 36 svart</t>
  </si>
  <si>
    <t>5023640N</t>
  </si>
  <si>
    <t>Chassi S3 Kort 36 Grå</t>
  </si>
  <si>
    <t>Chassi S3 Kort 39 Grå reservdel</t>
  </si>
  <si>
    <t>5023940BL</t>
  </si>
  <si>
    <t>Chassi S3 Kort 39 svart reservdel</t>
  </si>
  <si>
    <t>5023940BLN</t>
  </si>
  <si>
    <t>Chassi S3 Kort 39 svart</t>
  </si>
  <si>
    <t>5023940N</t>
  </si>
  <si>
    <t>Chassi S3 Kort 39 Grå</t>
  </si>
  <si>
    <t>Chassi S3 Kort 42 Grå reservdel</t>
  </si>
  <si>
    <t>5024240BL</t>
  </si>
  <si>
    <t>Chassi S3 Kort 42 svart reservdel</t>
  </si>
  <si>
    <t>5024240BLN</t>
  </si>
  <si>
    <t>Chassi S3 Kort 42 svart</t>
  </si>
  <si>
    <t>5024240N</t>
  </si>
  <si>
    <t>Chassi S3 Kort 42 Grå</t>
  </si>
  <si>
    <t>Chassi S3 Kort 45 Grå reservdel</t>
  </si>
  <si>
    <t>5024540BL</t>
  </si>
  <si>
    <t>Chassi S3 Kort 45 svart reservdel</t>
  </si>
  <si>
    <t>5024540BLN</t>
  </si>
  <si>
    <t>Chassi S3 Kort 45 svart</t>
  </si>
  <si>
    <t>5024540N</t>
  </si>
  <si>
    <t>Chassi S3 Kort 45 Grå</t>
  </si>
  <si>
    <t>5024541BL</t>
  </si>
  <si>
    <t>Chassi S3 Kort 45 svart m.</t>
  </si>
  <si>
    <t>5033340BL</t>
  </si>
  <si>
    <t>Chassi S3 Kort låg  33 svart reserv</t>
  </si>
  <si>
    <t>5033340BLN</t>
  </si>
  <si>
    <t>Chassi S3 Kort låg  33 svart</t>
  </si>
  <si>
    <t>Chassi S3 Kort låg 33 Grå</t>
  </si>
  <si>
    <t>5033341BL</t>
  </si>
  <si>
    <t>5033640BL</t>
  </si>
  <si>
    <t>Chassi S3 Kort låg  36 svart reserv</t>
  </si>
  <si>
    <t>5033640BLN</t>
  </si>
  <si>
    <t>Chassi S3 Kort låg  36 svart</t>
  </si>
  <si>
    <t>Chassi S3 Kort låg  36 Grå</t>
  </si>
  <si>
    <t>5033641BL</t>
  </si>
  <si>
    <t>5033940BL</t>
  </si>
  <si>
    <t>Chassi S3 Kort låg 39 svart reserv</t>
  </si>
  <si>
    <t>5033940BLN</t>
  </si>
  <si>
    <t>Chassi S3 Kort låg  39 svart</t>
  </si>
  <si>
    <t>Chassi S3 Kort låg  39 Grå</t>
  </si>
  <si>
    <t>5033941BL</t>
  </si>
  <si>
    <t>Chassi S3 Kort låg 39 svart m.</t>
  </si>
  <si>
    <t>5034240BLN</t>
  </si>
  <si>
    <t>Chassi S3 Kort låg  42 svart</t>
  </si>
  <si>
    <t>5034241BL</t>
  </si>
  <si>
    <t>Chassi S3 Kort låg 42 svart</t>
  </si>
  <si>
    <t>5034541BL</t>
  </si>
  <si>
    <t>Chassi S3 Kort låg 45 svart</t>
  </si>
  <si>
    <t>5043640BL</t>
  </si>
  <si>
    <t>Chassi S3 Swing 36 svart reservdel</t>
  </si>
  <si>
    <t>5043640BLN</t>
  </si>
  <si>
    <t>Chassi S3 Swing 36 svart</t>
  </si>
  <si>
    <t>5043641BL</t>
  </si>
  <si>
    <t>Chassi S3 Swing 36 svart m.</t>
  </si>
  <si>
    <t>5043940BL</t>
  </si>
  <si>
    <t>Chassi S3 Swing 39 svart reservdel</t>
  </si>
  <si>
    <t>5043940BLN</t>
  </si>
  <si>
    <t>Chassi S3 Swing 39 svart</t>
  </si>
  <si>
    <t>5043941BL</t>
  </si>
  <si>
    <t>Chassi S3 Swing 39 svart m.</t>
  </si>
  <si>
    <t>5044240BL</t>
  </si>
  <si>
    <t>Chassi S3 Swing 42 svart reservdel</t>
  </si>
  <si>
    <t>5044240BLN</t>
  </si>
  <si>
    <t>Chassi S3 Swing 42 svart</t>
  </si>
  <si>
    <t>5044241BL</t>
  </si>
  <si>
    <t>Chassi S3 Swing 42 svart m.</t>
  </si>
  <si>
    <t>5044540BL</t>
  </si>
  <si>
    <t>Chassi S3 Swing 45 svart reservdel</t>
  </si>
  <si>
    <t>5044540BLN</t>
  </si>
  <si>
    <t>Chassi S3 Swing 45 svart</t>
  </si>
  <si>
    <t>5044541BL</t>
  </si>
  <si>
    <t>Chassi S3 Swing 45 svart m.</t>
  </si>
  <si>
    <t>5045040BLN</t>
  </si>
  <si>
    <t>Chassi S3 Swing 50 svart</t>
  </si>
  <si>
    <t>5045041BL</t>
  </si>
  <si>
    <t>Chassi S3 Swing 50 svart m.</t>
  </si>
  <si>
    <t>5053340BL</t>
  </si>
  <si>
    <t>Chassi S3 Swing kort 33 svart</t>
  </si>
  <si>
    <t>5053340BLN</t>
  </si>
  <si>
    <t>Chassi S3 Swing kort 33svart</t>
  </si>
  <si>
    <t>5053341BL</t>
  </si>
  <si>
    <t>Chassi S3 Swing kort 33 svart m.</t>
  </si>
  <si>
    <t>5053640BL</t>
  </si>
  <si>
    <t>Chassi S3 Swing kort 36 svart</t>
  </si>
  <si>
    <t>5053640BLN</t>
  </si>
  <si>
    <t>5053641BL</t>
  </si>
  <si>
    <t>Chassi S3 Swing kort 36 svart m.</t>
  </si>
  <si>
    <t>5053940BL</t>
  </si>
  <si>
    <t>Chassi S3 Swing kort 39 svart</t>
  </si>
  <si>
    <t>5053940BLN</t>
  </si>
  <si>
    <t>5053941BL</t>
  </si>
  <si>
    <t>Chassi S3 Swing kort 39 svart m.</t>
  </si>
  <si>
    <t>5054241BL</t>
  </si>
  <si>
    <t>Chassi S3 Swing kort 42 svart m.</t>
  </si>
  <si>
    <t>5054541BL</t>
  </si>
  <si>
    <t>Chassi S3 Swing kort 45 svart</t>
  </si>
  <si>
    <t>5055040BL</t>
  </si>
  <si>
    <t>Chassi S3 Swing 50 svart reservdel</t>
  </si>
  <si>
    <t>5073940BL</t>
  </si>
  <si>
    <t>Chassi S3 39 Large  svart reservdel</t>
  </si>
  <si>
    <t>5073940BLN</t>
  </si>
  <si>
    <t>Chassi S3 39 Large  svart</t>
  </si>
  <si>
    <t>5073941BL</t>
  </si>
  <si>
    <t>Chassi S3 39 Large svart  m.</t>
  </si>
  <si>
    <t>5074240BL</t>
  </si>
  <si>
    <t>Chassi S3 42 Large  svart reservdel</t>
  </si>
  <si>
    <t>5074240BLN</t>
  </si>
  <si>
    <t>Chassi S3 42 Large  svart</t>
  </si>
  <si>
    <t>5074241BL</t>
  </si>
  <si>
    <t>Chassi S3 42 Large svart m.</t>
  </si>
  <si>
    <t>5074540BL</t>
  </si>
  <si>
    <t>Chassi S3 45 Large  svart reservdel</t>
  </si>
  <si>
    <t>5074540BLN</t>
  </si>
  <si>
    <t>Chassi S3 45 Large  svart</t>
  </si>
  <si>
    <t>5074541BL</t>
  </si>
  <si>
    <t>5075040BL</t>
  </si>
  <si>
    <t>Chassi S3 50 Large  svart reservdel</t>
  </si>
  <si>
    <t>5075040BLN</t>
  </si>
  <si>
    <t>Chassi S3 50 Large  svart</t>
  </si>
  <si>
    <t>5075041BL</t>
  </si>
  <si>
    <t>Chassi S3 50 Large svart m.</t>
  </si>
  <si>
    <t>5082740BL</t>
  </si>
  <si>
    <t>Chassi S3 kort abd 4° 27 svart res.</t>
  </si>
  <si>
    <t>5082741BL</t>
  </si>
  <si>
    <t>Chassi S3 kort abd. 4° 27 svart</t>
  </si>
  <si>
    <t>5083040BL</t>
  </si>
  <si>
    <t>Chassi S3 kort abd. 4° 30 svart res</t>
  </si>
  <si>
    <t>5083041BL</t>
  </si>
  <si>
    <t>Chassi S3 kort abd. 4° 30 svart</t>
  </si>
  <si>
    <t>5083340BL</t>
  </si>
  <si>
    <t>Chassi S3 kort abd. 4° 33 svart res</t>
  </si>
  <si>
    <t>5083341BL</t>
  </si>
  <si>
    <t>Chassi S3 kort abd. 4° 33 svart</t>
  </si>
  <si>
    <t>5110033BL</t>
  </si>
  <si>
    <t>Chassi U3 33 svart reservdel</t>
  </si>
  <si>
    <t>5110033BLN</t>
  </si>
  <si>
    <t>Chassi U3 33 svart</t>
  </si>
  <si>
    <t>5110036BL</t>
  </si>
  <si>
    <t>Chassi U3 36 svart reservdel</t>
  </si>
  <si>
    <t>5110036BLN</t>
  </si>
  <si>
    <t>Chassi U3 36 svart</t>
  </si>
  <si>
    <t>5110039BL</t>
  </si>
  <si>
    <t>Chassi U3 39 svart reservdel</t>
  </si>
  <si>
    <t>5110039BLN</t>
  </si>
  <si>
    <t xml:space="preserve">Chassi U3 39 svart </t>
  </si>
  <si>
    <t>5110042BL</t>
  </si>
  <si>
    <t>Chassi U3 42 svart reservdel</t>
  </si>
  <si>
    <t>5110042BLN</t>
  </si>
  <si>
    <t>Chassi U3 42 svart</t>
  </si>
  <si>
    <t>5110045BL</t>
  </si>
  <si>
    <t>Chassi U3 45 svart reservdel</t>
  </si>
  <si>
    <t>5110045BLN</t>
  </si>
  <si>
    <t>Chassi U3 45 svart</t>
  </si>
  <si>
    <t>5110133BL</t>
  </si>
  <si>
    <t>Chassi U3 33 svart m. sittklädsel</t>
  </si>
  <si>
    <t>5110136BL</t>
  </si>
  <si>
    <t>Chassi U3 36 svart m. sittklädsel</t>
  </si>
  <si>
    <t>5110139BL</t>
  </si>
  <si>
    <t>Chassi U3 39 svart m. sittklädsel</t>
  </si>
  <si>
    <t>5110142BL</t>
  </si>
  <si>
    <t>Chassi U3 42 svart m. sittkl och</t>
  </si>
  <si>
    <t>5110145BL</t>
  </si>
  <si>
    <t>Chassi U3 45 svart m. sittkl och</t>
  </si>
  <si>
    <t>Chassi U3 light 33 vit reservdel</t>
  </si>
  <si>
    <t>5120033BL</t>
  </si>
  <si>
    <t>Chassi U3 light 33 svart reservdel</t>
  </si>
  <si>
    <t>5120033BLN</t>
  </si>
  <si>
    <t>Chassi U3 light 33 svart</t>
  </si>
  <si>
    <t>5120033N</t>
  </si>
  <si>
    <t>Chassi U3 light 33 vit</t>
  </si>
  <si>
    <t>Chassi U3 light 36 vit reservdel</t>
  </si>
  <si>
    <t>5120036BL</t>
  </si>
  <si>
    <t>Chassi U3 light 36 svart reservdel</t>
  </si>
  <si>
    <t>5120036BLN</t>
  </si>
  <si>
    <t>Chassi U3 light 36 svart</t>
  </si>
  <si>
    <t>5120036N</t>
  </si>
  <si>
    <t>Chassi U3 light 36 vit</t>
  </si>
  <si>
    <t>Chassi U3 light 39 vit reservdel</t>
  </si>
  <si>
    <t>5120039BL</t>
  </si>
  <si>
    <t>Chassi U3 light 39 svart reservdel</t>
  </si>
  <si>
    <t>5120039BLN</t>
  </si>
  <si>
    <t xml:space="preserve">Chassi U3 light 39 svart </t>
  </si>
  <si>
    <t>5120039N</t>
  </si>
  <si>
    <t>Chassi U3 light 39 vit</t>
  </si>
  <si>
    <t>Chassi U3 light 42 vit reservdel</t>
  </si>
  <si>
    <t>5120042BL</t>
  </si>
  <si>
    <t>Chassi U3 light 42 svart reservdel</t>
  </si>
  <si>
    <t>5120042BLN</t>
  </si>
  <si>
    <t>Chassi U3 light 42 svart</t>
  </si>
  <si>
    <t>5120042N</t>
  </si>
  <si>
    <t>Chassi U3 light 42 vit</t>
  </si>
  <si>
    <t>Chassi U3 light 45 vit reservdel</t>
  </si>
  <si>
    <t>5120045BL</t>
  </si>
  <si>
    <t>Chassi U3 light 45 svart reservdel</t>
  </si>
  <si>
    <t>5120045BLN</t>
  </si>
  <si>
    <t>Chassi U3 light 45 svart</t>
  </si>
  <si>
    <t>5120045N</t>
  </si>
  <si>
    <t>Chassi U3 light 45 vit</t>
  </si>
  <si>
    <t>Chassi U3 light 33 vit m. Sittkl</t>
  </si>
  <si>
    <t>5120133BL</t>
  </si>
  <si>
    <t>Chassi U3 light 33 svart m. sittkl</t>
  </si>
  <si>
    <t>Chassi U3 light 36 vit m. Sittkl</t>
  </si>
  <si>
    <t>5120136BL</t>
  </si>
  <si>
    <t>Chassi U3 light 36 svart m. sittkl</t>
  </si>
  <si>
    <t>Chassi U3 light 39 vit m.sittkl och</t>
  </si>
  <si>
    <t>5120139BL</t>
  </si>
  <si>
    <t>Chassi U3 light 39 svart m. sittkl</t>
  </si>
  <si>
    <t>Chassi U3 light 42 vit m. Sittkl</t>
  </si>
  <si>
    <t>5120142BL</t>
  </si>
  <si>
    <t>Chassi U3 light 42 svart m. sittkl</t>
  </si>
  <si>
    <t>Chassi U3 light 45 vit m. Sittkl</t>
  </si>
  <si>
    <t>5120145BL</t>
  </si>
  <si>
    <t>Chassi U3 light 45 svart m. sittkl</t>
  </si>
  <si>
    <t>Chassi U3 light/L 33 vit reservdel</t>
  </si>
  <si>
    <t>5130033BL</t>
  </si>
  <si>
    <t>Chassi U3 light/L 33 svart res.del</t>
  </si>
  <si>
    <t>5130033BLN</t>
  </si>
  <si>
    <t>Chassi U3 light/L 33 svart</t>
  </si>
  <si>
    <t>5130033N</t>
  </si>
  <si>
    <t>Chassi U3 light/L 33 vit</t>
  </si>
  <si>
    <t>Chassi U3 light/L 36 vit reservdel</t>
  </si>
  <si>
    <t>5130036BL</t>
  </si>
  <si>
    <t>Chassi U3 light/L 36 svart res.del</t>
  </si>
  <si>
    <t>5130036BLN</t>
  </si>
  <si>
    <t>Chassi U3 light/L 36 svart</t>
  </si>
  <si>
    <t>5130036N</t>
  </si>
  <si>
    <t>Chassi U3 light/L 36 Vit</t>
  </si>
  <si>
    <t>Chassi U3 light/L 39 vit reservdel</t>
  </si>
  <si>
    <t>5130039BL</t>
  </si>
  <si>
    <t>Chassi U3 light/L 39 svart res.del</t>
  </si>
  <si>
    <t>5130039BLN</t>
  </si>
  <si>
    <t>Chassi U3 light/L 39 svart</t>
  </si>
  <si>
    <t>5130039N</t>
  </si>
  <si>
    <t>Chassi U3 light/L 39 Vit</t>
  </si>
  <si>
    <t>Chassi U3 light/L 42 vit reservdel</t>
  </si>
  <si>
    <t>5130042BL</t>
  </si>
  <si>
    <t>Chassi U3 light/L 42 svart res.del</t>
  </si>
  <si>
    <t>5130042BLN</t>
  </si>
  <si>
    <t>Chassi U3 light/L 42 svart</t>
  </si>
  <si>
    <t>5130042N</t>
  </si>
  <si>
    <t>Chassi U3 light/L 42 Vit</t>
  </si>
  <si>
    <t>Chassi U3 light/L 45 vit reservdel</t>
  </si>
  <si>
    <t>5130045BL</t>
  </si>
  <si>
    <t>Chassi U3 light/L 45 svart res.del</t>
  </si>
  <si>
    <t>5130045BLN</t>
  </si>
  <si>
    <t>Chassi U3 light/L 45 svart</t>
  </si>
  <si>
    <t>5130045N</t>
  </si>
  <si>
    <t>Chassi U3 light/L 45 Vit</t>
  </si>
  <si>
    <t>Chassi U3 light/L 33 vit m.Sittkl</t>
  </si>
  <si>
    <t>5130133BL</t>
  </si>
  <si>
    <t>Chassi U3 light/L 33 svart sittkl</t>
  </si>
  <si>
    <t>Chassi U3 light/L 36 vit m. Sittkl</t>
  </si>
  <si>
    <t>5130136BL</t>
  </si>
  <si>
    <t>Chassi U3 light/L 36 svart sittkl</t>
  </si>
  <si>
    <t>Chassi U3 light/L 39 vitm. sittkl</t>
  </si>
  <si>
    <t>5130139BL</t>
  </si>
  <si>
    <t>Chassi U3 light/L 39 svart sittkl</t>
  </si>
  <si>
    <t>Chassi U3 light/L 42 vit m. Sittkl</t>
  </si>
  <si>
    <t>5130142BL</t>
  </si>
  <si>
    <t>Chassi U3 light/L 42 svart sittkl</t>
  </si>
  <si>
    <t>Chassi U3 light/L 45 vit m. Sittkl</t>
  </si>
  <si>
    <t>5130145BL</t>
  </si>
  <si>
    <t>Chassi U3 light/L 45 svart sittkl</t>
  </si>
  <si>
    <t>5150024G</t>
  </si>
  <si>
    <t>Rullstol Micro 3 24 blå</t>
  </si>
  <si>
    <t>5150024GP</t>
  </si>
  <si>
    <t>Rullstol Micro 3 24 olackad</t>
  </si>
  <si>
    <t>5150027G</t>
  </si>
  <si>
    <t>Rullstol Micro 3 27 blå</t>
  </si>
  <si>
    <t>5150027GP</t>
  </si>
  <si>
    <t>Rullstol Micro 3 27 olackad</t>
  </si>
  <si>
    <t>5151024G</t>
  </si>
  <si>
    <t>Chassi Micro 3 24 blå reservdel</t>
  </si>
  <si>
    <t>5151024GP</t>
  </si>
  <si>
    <t>Chassi Micro 3 24 olackat reservdel</t>
  </si>
  <si>
    <t>5151027G</t>
  </si>
  <si>
    <t>Chassi Micro 3 27 blå reservdel</t>
  </si>
  <si>
    <t>5151027GP</t>
  </si>
  <si>
    <t>Chassi Micro 3 27 olackat reservdel</t>
  </si>
  <si>
    <t>5160024G</t>
  </si>
  <si>
    <t>Rullstol Micro 3 Lång 24 blå</t>
  </si>
  <si>
    <t>5160024GP</t>
  </si>
  <si>
    <t>Rullstol Micro 3 Lång 24 olackad</t>
  </si>
  <si>
    <t>5160027G</t>
  </si>
  <si>
    <t>Rullstol Micro 3 Lång 27 blå</t>
  </si>
  <si>
    <t>5160027GP</t>
  </si>
  <si>
    <t>Rullstol Micro 3 Lång 27 olackad</t>
  </si>
  <si>
    <t>5161024G</t>
  </si>
  <si>
    <t>Chassi Micro 3 Lång 24 blå reserv</t>
  </si>
  <si>
    <t>5161024GP</t>
  </si>
  <si>
    <t>Chassi Micro 3 Lång 24 olack reserv</t>
  </si>
  <si>
    <t>5161027G</t>
  </si>
  <si>
    <t>Chassi Micro 3 Lång 27 blå reserv</t>
  </si>
  <si>
    <t>5161027GP</t>
  </si>
  <si>
    <t>Chassi Micro 3 Lång 27 olack reserv</t>
  </si>
  <si>
    <t>5170024BLG</t>
  </si>
  <si>
    <t>Rullstol Bambino 3  24 svart</t>
  </si>
  <si>
    <t>5170024G</t>
  </si>
  <si>
    <t>Rullstol Bambino 3  24 blå</t>
  </si>
  <si>
    <t>5170024GP</t>
  </si>
  <si>
    <t>Rullstol Bambino 3  24 olackad</t>
  </si>
  <si>
    <t>5170027BLG</t>
  </si>
  <si>
    <t>Rullstol Bambino 3  27 svart</t>
  </si>
  <si>
    <t>5170027G</t>
  </si>
  <si>
    <t>Rullstol Bambino 3  27 blå</t>
  </si>
  <si>
    <t>5170027GP</t>
  </si>
  <si>
    <t>Rullstol Bambino 3  27 olackad</t>
  </si>
  <si>
    <t>5170030BLG</t>
  </si>
  <si>
    <t>Rullstol Bambino 3  30 svart</t>
  </si>
  <si>
    <t>5170030G</t>
  </si>
  <si>
    <t>Rullstol Bambino 3  30 blå</t>
  </si>
  <si>
    <t>5170030GP</t>
  </si>
  <si>
    <t>Rullstol Bambino 3  30 olackad</t>
  </si>
  <si>
    <t>5170033BLG</t>
  </si>
  <si>
    <t>Rullstol Bambino 3  33 svart</t>
  </si>
  <si>
    <t>5170033G</t>
  </si>
  <si>
    <t>Rullstol Bambino 3  33 blå</t>
  </si>
  <si>
    <t>5170033GP</t>
  </si>
  <si>
    <t>Rullstol Bambino 3  33 olackad</t>
  </si>
  <si>
    <t>5171024BLG</t>
  </si>
  <si>
    <t>Chassi Bambino 3 24 svart reservdel</t>
  </si>
  <si>
    <t>5171024G</t>
  </si>
  <si>
    <t>Chassi Bambino 3 24 blå reservdel</t>
  </si>
  <si>
    <t>5171024GP</t>
  </si>
  <si>
    <t>Chassi Bambino 3 24 olack reservdel</t>
  </si>
  <si>
    <t>5171027BLG</t>
  </si>
  <si>
    <t>Chassi Bambino 3 27 svart reservdel</t>
  </si>
  <si>
    <t>5171027G</t>
  </si>
  <si>
    <t>Chassi Bambino 3 27 blå reservdel</t>
  </si>
  <si>
    <t>5171027GP</t>
  </si>
  <si>
    <t>Chassi Bambino 3 27 olack reservdel</t>
  </si>
  <si>
    <t>5171030BLG</t>
  </si>
  <si>
    <t>Chassi Bambino 3 30 svart reservdel</t>
  </si>
  <si>
    <t>5171030G</t>
  </si>
  <si>
    <t>Chassi Bambino 3 30 blå reservdel</t>
  </si>
  <si>
    <t>5171030GP</t>
  </si>
  <si>
    <t>Chassi Bambino 3 30 olack reservdel</t>
  </si>
  <si>
    <t>5171033BLG</t>
  </si>
  <si>
    <t>Chassi Bambino 3 33 svart reserv.</t>
  </si>
  <si>
    <t>5171033G</t>
  </si>
  <si>
    <t>Chassi Bambino 3 33 blå reservdel</t>
  </si>
  <si>
    <t>5171033GP</t>
  </si>
  <si>
    <t>Chassi Bambino 3 33 olack reservdel</t>
  </si>
  <si>
    <t>5180024BLG</t>
  </si>
  <si>
    <t>Rullstol Bambino 3 Kort 24 svart</t>
  </si>
  <si>
    <t>5180024G</t>
  </si>
  <si>
    <t>Rullstol Bambino 3 Kort 24 blå</t>
  </si>
  <si>
    <t>5180024GP</t>
  </si>
  <si>
    <t>Rullstol Bambino 3 Kort 24 olackad</t>
  </si>
  <si>
    <t>5180027BLG</t>
  </si>
  <si>
    <t>Rullstol Bambino 3 Kort 27 svart</t>
  </si>
  <si>
    <t>5180027G</t>
  </si>
  <si>
    <t>Rullstol Bambino 3 Kort 27 blå</t>
  </si>
  <si>
    <t>5180027GP</t>
  </si>
  <si>
    <t>Rullstol Bambino 3 Kort 27 olackad</t>
  </si>
  <si>
    <t>5181024BLG</t>
  </si>
  <si>
    <t>Chassi Bambino 3 Kort 24 svart res.</t>
  </si>
  <si>
    <t>5181024G</t>
  </si>
  <si>
    <t>Chassi Bambino 3 Kort 24 blå res.</t>
  </si>
  <si>
    <t>5181024GP</t>
  </si>
  <si>
    <t>Chassi Bambino 3 Kort 24 olack res.</t>
  </si>
  <si>
    <t>5181027BLG</t>
  </si>
  <si>
    <t>Chassi Bambino 3 Kort 27 svart res.</t>
  </si>
  <si>
    <t>5181027G</t>
  </si>
  <si>
    <t>Chassi Bambino 3 Kort 27 blå res.</t>
  </si>
  <si>
    <t>5181027GP</t>
  </si>
  <si>
    <t>Chassi Bambino 3 Kort 27 olack res.</t>
  </si>
  <si>
    <t>Excenter skruv ryggbåge S3</t>
  </si>
  <si>
    <t>Ryggstativ B3 br24 h20-28</t>
  </si>
  <si>
    <t>Ryggstativ B3 br24 h27-35</t>
  </si>
  <si>
    <t>5202420 VER2</t>
  </si>
  <si>
    <t>Ryggstativ S3 br 24 h 20</t>
  </si>
  <si>
    <t>5202425 VER2</t>
  </si>
  <si>
    <t>Ryggstativ S3 br 24 h 25</t>
  </si>
  <si>
    <t>5202430 VER2</t>
  </si>
  <si>
    <t>Ryggstativ S3 br 24 h 30</t>
  </si>
  <si>
    <t>Ryggstativ B3 br27 h20-28</t>
  </si>
  <si>
    <t>Ryggstativ B3 br27 h27-35</t>
  </si>
  <si>
    <t>5202725 VER2</t>
  </si>
  <si>
    <t>Ryggstativ S3 br 27 h 25</t>
  </si>
  <si>
    <t>5202730 VER2</t>
  </si>
  <si>
    <t>Ryggstativ S3 br 27 h 30</t>
  </si>
  <si>
    <t>5202735 VER2</t>
  </si>
  <si>
    <t>Ryggstativ S3 br  27 h 35</t>
  </si>
  <si>
    <t>5202740 VER2</t>
  </si>
  <si>
    <t>Ryggstativ S3 br 27 h 40</t>
  </si>
  <si>
    <t>Ryggstativ B3 br30 h20-28</t>
  </si>
  <si>
    <t>Ryggstativ B3 br30 h27-35</t>
  </si>
  <si>
    <t>5203020 VER2</t>
  </si>
  <si>
    <t>Ryggstativ S3 br 30 h 20</t>
  </si>
  <si>
    <t>5203025 VER2</t>
  </si>
  <si>
    <t>Ryggstativ S3 br 30 h 25</t>
  </si>
  <si>
    <t>5203030 VER2</t>
  </si>
  <si>
    <t>Ryggstativ S3 br 30 h 30</t>
  </si>
  <si>
    <t>5203035 VER2</t>
  </si>
  <si>
    <t>Ryggstativ S3 br 30 h 35</t>
  </si>
  <si>
    <t>5203040 VER2</t>
  </si>
  <si>
    <t>Ryggstativ S3 br 30 h 40</t>
  </si>
  <si>
    <t>5203045 VER2</t>
  </si>
  <si>
    <t>Ryggstativ S3 br 30 h 45</t>
  </si>
  <si>
    <t>Ryggstativ B3 br33 h20-28</t>
  </si>
  <si>
    <t>Ryggstativ B3 br33 h27-35</t>
  </si>
  <si>
    <t>5203320 VER2</t>
  </si>
  <si>
    <t>Ryggstativ S3 br 33 h 20</t>
  </si>
  <si>
    <t>5203325 VER2</t>
  </si>
  <si>
    <t>Ryggstativ S3 br 33 h 25</t>
  </si>
  <si>
    <t>5203325L</t>
  </si>
  <si>
    <t>Ryggstativ U3L br 33 h 25</t>
  </si>
  <si>
    <t>5203330 VER2</t>
  </si>
  <si>
    <t>Ryggstativ S3 br 33 h 30</t>
  </si>
  <si>
    <t>5203330L</t>
  </si>
  <si>
    <t>Ryggstativ U3L br 33 h 30</t>
  </si>
  <si>
    <t>5203335 VER2</t>
  </si>
  <si>
    <t>Ryggstativ S3 br 33 h 35</t>
  </si>
  <si>
    <t>5203335L</t>
  </si>
  <si>
    <t>Ryggstativ U3L br 33 h 35</t>
  </si>
  <si>
    <t>5203340 VER2</t>
  </si>
  <si>
    <t>Ryggstativ S3 br 33 h 40</t>
  </si>
  <si>
    <t>5203345 VER2</t>
  </si>
  <si>
    <t>Ryggstativ S3 br 33 h 45</t>
  </si>
  <si>
    <t>5203620 VER2</t>
  </si>
  <si>
    <t>Ryggstativ S3 br 36 h 20</t>
  </si>
  <si>
    <t>5203625 VER2</t>
  </si>
  <si>
    <t>Ryggstativ S3 br 36 h 25</t>
  </si>
  <si>
    <t>5203625L</t>
  </si>
  <si>
    <t>Ryggstativ U3L br 36 h 25</t>
  </si>
  <si>
    <t>5203630 VER2</t>
  </si>
  <si>
    <t>Ryggstativ S3 br 36 h 30</t>
  </si>
  <si>
    <t>5203630L</t>
  </si>
  <si>
    <t>Ryggstativ U3L br 36 h 30</t>
  </si>
  <si>
    <t>5203635 VER2</t>
  </si>
  <si>
    <t>Ryggstativ S3 br 36 h 35</t>
  </si>
  <si>
    <t>5203635L</t>
  </si>
  <si>
    <t>Ryggstativ U3L br 36 h 35</t>
  </si>
  <si>
    <t>5203640 VER2</t>
  </si>
  <si>
    <t>Ryggstativ S3 br 36 h 40</t>
  </si>
  <si>
    <t>5203645 VER2</t>
  </si>
  <si>
    <t>Ryggstativ S3 br 36 h 45</t>
  </si>
  <si>
    <t>5203920 VER2</t>
  </si>
  <si>
    <t>Ryggstativ S3 br 39 h 20</t>
  </si>
  <si>
    <t>5203925 VER2</t>
  </si>
  <si>
    <t>Ryggstativ S3 br 39 h 25</t>
  </si>
  <si>
    <t>5203925L</t>
  </si>
  <si>
    <t>Ryggstativ U3L br 39 h 25</t>
  </si>
  <si>
    <t>5203930 VER2</t>
  </si>
  <si>
    <t>Ryggstativ S3 br 39 h 30</t>
  </si>
  <si>
    <t>5203930L</t>
  </si>
  <si>
    <t>Ryggstativ U3L br 39 h 30</t>
  </si>
  <si>
    <t>5203935 VER2</t>
  </si>
  <si>
    <t>Ryggstativ S3 br 39 h 35</t>
  </si>
  <si>
    <t>5203935L</t>
  </si>
  <si>
    <t>Ryggstativ U3L br 39 h 35</t>
  </si>
  <si>
    <t>5203940 VER2</t>
  </si>
  <si>
    <t>Ryggstativ S3 br 39 h 40</t>
  </si>
  <si>
    <t>5203945 VER2</t>
  </si>
  <si>
    <t>Ryggstativ S3 br 39 h 45</t>
  </si>
  <si>
    <t>5204220 VER2</t>
  </si>
  <si>
    <t>Ryggstativ S3 br 42 h 20</t>
  </si>
  <si>
    <t>5204225 VER2</t>
  </si>
  <si>
    <t>Ryggstativ S3 br 42 h 25</t>
  </si>
  <si>
    <t>5204225L</t>
  </si>
  <si>
    <t>Ryggstativ U3L br 42 h 25</t>
  </si>
  <si>
    <t>5204230 VER2</t>
  </si>
  <si>
    <t>Ryggstativ S3 br 42 h 30</t>
  </si>
  <si>
    <t>5204230L</t>
  </si>
  <si>
    <t>Ryggstativ U3L br 42 h 30</t>
  </si>
  <si>
    <t>5204235 VER2</t>
  </si>
  <si>
    <t>Ryggstativ S3 br 42 h 35</t>
  </si>
  <si>
    <t>5204235L</t>
  </si>
  <si>
    <t>Ryggstativ U3L br 42 h 35</t>
  </si>
  <si>
    <t>5204240 VER2</t>
  </si>
  <si>
    <t>Ryggstativ S3 br 42 h40</t>
  </si>
  <si>
    <t>5204245 VER2</t>
  </si>
  <si>
    <t>Ryggstativ S3 br 42 h 45</t>
  </si>
  <si>
    <t>5204520 VER2</t>
  </si>
  <si>
    <t>Ryggstativ S3 br 45 h 20</t>
  </si>
  <si>
    <t>5204525 VER2</t>
  </si>
  <si>
    <t>Ryggstativ S3 br 45 h 25</t>
  </si>
  <si>
    <t>5204525L</t>
  </si>
  <si>
    <t>Ryggstativ U3L br 45 h 25</t>
  </si>
  <si>
    <t>5204530 VER2</t>
  </si>
  <si>
    <t>Ryggstativ S3 br 45 h 30</t>
  </si>
  <si>
    <t>5204530L</t>
  </si>
  <si>
    <t>Ryggstativ U3L br 45 h 30</t>
  </si>
  <si>
    <t>5204535 VER2</t>
  </si>
  <si>
    <t>Ryggstativ S3 br 45 h 35</t>
  </si>
  <si>
    <t>5204535L</t>
  </si>
  <si>
    <t>Ryggstativ U3L br 45 h 35</t>
  </si>
  <si>
    <t>5204540 VER2</t>
  </si>
  <si>
    <t>Ryggstativ S3 br 45 h 40</t>
  </si>
  <si>
    <t>5204545 VER2</t>
  </si>
  <si>
    <t>Ryggstativ S3 br 45 h 45</t>
  </si>
  <si>
    <t>5205030 VER2</t>
  </si>
  <si>
    <t>Ryggstativ S3 br 50 h 30</t>
  </si>
  <si>
    <t>5205035 VER2</t>
  </si>
  <si>
    <t>Ryggstativ S3 br 50 h 35</t>
  </si>
  <si>
    <t>5205040 VER2</t>
  </si>
  <si>
    <t>Ryggstativ S3 br 50 h 40</t>
  </si>
  <si>
    <t>5205045 VER2</t>
  </si>
  <si>
    <t>Ryggstativ S3 br 50 h 45</t>
  </si>
  <si>
    <t>5213025 VER2</t>
  </si>
  <si>
    <t>Ryggstativ S3 bakåtbockad br30 h25</t>
  </si>
  <si>
    <t>Ryggstativ S3 bakåtbockad br30 h30</t>
  </si>
  <si>
    <t>5213030 VER2</t>
  </si>
  <si>
    <t>Ryggstativ S3 bakåtbockad br30 h35</t>
  </si>
  <si>
    <t>5213035 VER2</t>
  </si>
  <si>
    <t>Ryggstativ S3 bakåtbockad br30 h40</t>
  </si>
  <si>
    <t>5213040 VER2</t>
  </si>
  <si>
    <t>Ryggstativ S3 bakåtbockad br33 h25</t>
  </si>
  <si>
    <t>5213325 VER2</t>
  </si>
  <si>
    <t>5213325L</t>
  </si>
  <si>
    <t>Ryggstativ U3L bakåtbockad br33 h25</t>
  </si>
  <si>
    <t>Ryggstativ S3 bakåtbockad br33 h30</t>
  </si>
  <si>
    <t>5213330 VER2</t>
  </si>
  <si>
    <t>5213330L</t>
  </si>
  <si>
    <t>Ryggstativ U3L bakåtbockad br33 h30</t>
  </si>
  <si>
    <t>Ryggstativ S3 bakåtbockad br33 h35</t>
  </si>
  <si>
    <t>5213335 VER2</t>
  </si>
  <si>
    <t>5213335L</t>
  </si>
  <si>
    <t>Ryggstativ U3L bakåtbockad br33 h35</t>
  </si>
  <si>
    <t>Ryggstativ S3 bakåtbockad br33 h40</t>
  </si>
  <si>
    <t>5213340 VER2</t>
  </si>
  <si>
    <t>Ryggstativ S3 bakåtbockad br36 h25</t>
  </si>
  <si>
    <t>5213625 VER2</t>
  </si>
  <si>
    <t>5213625L</t>
  </si>
  <si>
    <t>Ryggstativ U3L bakåtbockad br36 h25</t>
  </si>
  <si>
    <t>Ryggstativ S3 bakåtbockad br36 h30</t>
  </si>
  <si>
    <t>5213630 VER2</t>
  </si>
  <si>
    <t>5213630L</t>
  </si>
  <si>
    <t>Ryggstativ U3L bakåtbockad br36 h30</t>
  </si>
  <si>
    <t>Ryggstativ S3 bakåtbockad br36 h35</t>
  </si>
  <si>
    <t>5213635 VER2</t>
  </si>
  <si>
    <t>5213635L</t>
  </si>
  <si>
    <t>Ryggstativ U3L bakåtbockad br36 h35</t>
  </si>
  <si>
    <t>Ryggstativ S3 bakåtbockad br36 h40</t>
  </si>
  <si>
    <t>5213640 VER2</t>
  </si>
  <si>
    <t>Ryggstativ S3 bakåtbockad br39 h25</t>
  </si>
  <si>
    <t>5213925 VER2</t>
  </si>
  <si>
    <t>5213925L</t>
  </si>
  <si>
    <t>Ryggstativ U3L bakåtbockad br39 h25</t>
  </si>
  <si>
    <t>Ryggstativ S3 bakåtbockad br39 h30</t>
  </si>
  <si>
    <t>5213930 VER2</t>
  </si>
  <si>
    <t>5213930L</t>
  </si>
  <si>
    <t>Ryggstativ U3L bakåtbockad br39 h30</t>
  </si>
  <si>
    <t>Ryggstativ S3 bakåtbockad br39 h35</t>
  </si>
  <si>
    <t>5213935 VER2</t>
  </si>
  <si>
    <t>5213935L</t>
  </si>
  <si>
    <t>Ryggstativ U3L bakåtbockad br39 h35</t>
  </si>
  <si>
    <t>Ryggstativ S3 bakåtbockad br39 h40</t>
  </si>
  <si>
    <t>5213940 VER2</t>
  </si>
  <si>
    <t>Ryggstativ S3 bakåtbockad br42 h25</t>
  </si>
  <si>
    <t>5214225 VER2</t>
  </si>
  <si>
    <t>5214225L</t>
  </si>
  <si>
    <t>Ryggstativ U3L bakåtbockad br42 h25</t>
  </si>
  <si>
    <t>Ryggstativ S3 bakåtbockad br42 h30</t>
  </si>
  <si>
    <t>5214230 VER2</t>
  </si>
  <si>
    <t>5214230L</t>
  </si>
  <si>
    <t>Ryggstativ U3L bakåtbockad br42 h30</t>
  </si>
  <si>
    <t>Ryggstativ S3 bakåtbockad br42 h35</t>
  </si>
  <si>
    <t>5214235 VER2</t>
  </si>
  <si>
    <t>5214235L</t>
  </si>
  <si>
    <t>Ryggstativ U3L bakåtbockad br42 h35</t>
  </si>
  <si>
    <t>Ryggstativ S3 bakåtbockad br42 h40</t>
  </si>
  <si>
    <t>5214240 VER2</t>
  </si>
  <si>
    <t>5214525L</t>
  </si>
  <si>
    <t>Ryggstativ U3L bakåtbockad br45 h25</t>
  </si>
  <si>
    <t>Ryggstativ S3 bakåtbockad br45 h30</t>
  </si>
  <si>
    <t>5214530 VER2</t>
  </si>
  <si>
    <t>5214530L</t>
  </si>
  <si>
    <t>Ryggstativ S3 bakåtbockad br45 h35</t>
  </si>
  <si>
    <t>5214535 VER2</t>
  </si>
  <si>
    <t>5214535L</t>
  </si>
  <si>
    <t>Ryggstativ U3L bakåtbockad br45 h35</t>
  </si>
  <si>
    <t>Ryggstativ S3 bakåtbockad br45 h40</t>
  </si>
  <si>
    <t>5214540 VER2</t>
  </si>
  <si>
    <t>5215030 VER2</t>
  </si>
  <si>
    <t>Ryggstativ S3 bakåtbockad br50 h30</t>
  </si>
  <si>
    <t>5215035 VER2</t>
  </si>
  <si>
    <t>Ryggstativ S3 bakåtbockad br50 h35</t>
  </si>
  <si>
    <t>5215040 VER2</t>
  </si>
  <si>
    <t>Ryggstativ S3 bakåtbockad br50 h40</t>
  </si>
  <si>
    <t>5223330 VER2</t>
  </si>
  <si>
    <t>Ryggstativ S3 insvängd br33 h30</t>
  </si>
  <si>
    <t>5223330L</t>
  </si>
  <si>
    <t>Ryggstativ U3L insvängd br33 h30</t>
  </si>
  <si>
    <t>5223335 VER2</t>
  </si>
  <si>
    <t>Ryggstativ S3 insvängd br33 h35</t>
  </si>
  <si>
    <t>5223335L</t>
  </si>
  <si>
    <t>Ryggstativ U3L insvängd br33 h35</t>
  </si>
  <si>
    <t>5223340 VER2</t>
  </si>
  <si>
    <t>Ryggstativ S3 insvängd br33 h40</t>
  </si>
  <si>
    <t>5223630 VER2</t>
  </si>
  <si>
    <t>Ryggstativ S3 insvängd br36 h30</t>
  </si>
  <si>
    <t>5223630L</t>
  </si>
  <si>
    <t>Ryggstativ U3L insvängd br36 h30</t>
  </si>
  <si>
    <t>5223635 VER2</t>
  </si>
  <si>
    <t>Ryggstativ S3 insvängd br36 h35</t>
  </si>
  <si>
    <t>5223635L</t>
  </si>
  <si>
    <t>Ryggstativ U3L insvängd br36 h35</t>
  </si>
  <si>
    <t>5223640 VER2</t>
  </si>
  <si>
    <t>Ryggstativ S3 insvängd br36 h40</t>
  </si>
  <si>
    <t>5223930 VER2</t>
  </si>
  <si>
    <t>Ryggstativ S3 insvängd br39 h30</t>
  </si>
  <si>
    <t>5223930L</t>
  </si>
  <si>
    <t>Ryggstativ U3L insvängd br39 h30</t>
  </si>
  <si>
    <t>5223935 VER2</t>
  </si>
  <si>
    <t>Ryggstativ S3 insvängd br39 h35</t>
  </si>
  <si>
    <t>5223935L</t>
  </si>
  <si>
    <t>Ryggstativ U3L insvängd br39 h35</t>
  </si>
  <si>
    <t>5223940 VER2</t>
  </si>
  <si>
    <t>Ryggstativ S3 insvängd br39 h40</t>
  </si>
  <si>
    <t>5224230 VER2</t>
  </si>
  <si>
    <t>Ryggstativ S3 insvängd br42 h30</t>
  </si>
  <si>
    <t>5224230L</t>
  </si>
  <si>
    <t>Ryggstativ U3L insvängd br42 h30</t>
  </si>
  <si>
    <t>5224235 VER2</t>
  </si>
  <si>
    <t>Ryggstativ S3 insvängd br42 h35</t>
  </si>
  <si>
    <t>5224235L</t>
  </si>
  <si>
    <t>Ryggstativ U3L insvängd br42 h35</t>
  </si>
  <si>
    <t>5224240 VER2</t>
  </si>
  <si>
    <t>Ryggstativ S3 insvängd br42 h40</t>
  </si>
  <si>
    <t>5224530 VER2</t>
  </si>
  <si>
    <t>Ryggstativ S3 insvängd br45 h30</t>
  </si>
  <si>
    <t>5224530L</t>
  </si>
  <si>
    <t>Ryggstativ U3L insvängd br45 h30</t>
  </si>
  <si>
    <t>5224535 VER2</t>
  </si>
  <si>
    <t>Ryggstativ S3 insvängd br45 h35</t>
  </si>
  <si>
    <t>5224535L</t>
  </si>
  <si>
    <t>Ryggstativ U3L insvängd br45 h35</t>
  </si>
  <si>
    <t>5224540 VER2</t>
  </si>
  <si>
    <t>Ryggstativ S3 insvängd br45 h40</t>
  </si>
  <si>
    <t>5225030 VER2</t>
  </si>
  <si>
    <t>Ryggstativ S3 insvängd br50 h30</t>
  </si>
  <si>
    <t>Ryggstativ S3 insvängd br50 h35</t>
  </si>
  <si>
    <t>5225035 VER2</t>
  </si>
  <si>
    <t>Ryggstativ S3 insvängd br50 h40</t>
  </si>
  <si>
    <t>5225040 VER2</t>
  </si>
  <si>
    <t>Rygg B3 blå br24 h20-28 kpl</t>
  </si>
  <si>
    <t>5232417BL</t>
  </si>
  <si>
    <t>Rygg B3 svart br24 h20-28 kpl</t>
  </si>
  <si>
    <t>Rygg B3 blå br24 h27-35 kpl</t>
  </si>
  <si>
    <t>5232418BL</t>
  </si>
  <si>
    <t>Rygg B3 svart br24 h27-35 kpl</t>
  </si>
  <si>
    <t>Rygg B3 blå br27 h20-28 kpl</t>
  </si>
  <si>
    <t>5232717BL</t>
  </si>
  <si>
    <t>Rygg B3 svart br27 h20-28 kpl</t>
  </si>
  <si>
    <t>Rygg B3 blå br27 h27-35 kpl</t>
  </si>
  <si>
    <t>5232718BL</t>
  </si>
  <si>
    <t>Rygg B3 svart br27 h27-35 kpl</t>
  </si>
  <si>
    <t>5232725 VER2</t>
  </si>
  <si>
    <t>Rygg S3 kpl br 27 h 25</t>
  </si>
  <si>
    <t>Rygg S3 kpl br 27 h 30</t>
  </si>
  <si>
    <t>5232730 VER2</t>
  </si>
  <si>
    <t>Rygg S3 kpl br 27 h 35</t>
  </si>
  <si>
    <t>5232735 VER2</t>
  </si>
  <si>
    <t>Rygg S3 kpl br 27 h 40</t>
  </si>
  <si>
    <t>5232740 VER2</t>
  </si>
  <si>
    <t>Rygg B3 blå br30 h20-28 kpl</t>
  </si>
  <si>
    <t>5233017BL</t>
  </si>
  <si>
    <t>Rygg B3 svart br30 h20-28 kpl</t>
  </si>
  <si>
    <t>Rygg B3 blå br30 h27-35 kpl</t>
  </si>
  <si>
    <t>5233018BL</t>
  </si>
  <si>
    <t>Rygg B3 svart br30 h27-35 kpl</t>
  </si>
  <si>
    <t>Rygg S3 kpl br 30 h 20</t>
  </si>
  <si>
    <t>5233020 VER2</t>
  </si>
  <si>
    <t>Rygg S3 kpl br 30 h 25</t>
  </si>
  <si>
    <t>5233025 VER2</t>
  </si>
  <si>
    <t>Rygg S3 kpl br 30 h 30</t>
  </si>
  <si>
    <t>5233030 VER2</t>
  </si>
  <si>
    <t>Rygg S3 kpl br 30 h 35</t>
  </si>
  <si>
    <t>5233035 VER2</t>
  </si>
  <si>
    <t>Rygg S3 kpl br 30 h 40</t>
  </si>
  <si>
    <t>5233040 VER2</t>
  </si>
  <si>
    <t>Rygg S3 kpl br 30 h 45</t>
  </si>
  <si>
    <t>5233045 VER2</t>
  </si>
  <si>
    <t>Rygg B3 blå br33 h20-28 kpl</t>
  </si>
  <si>
    <t>5233317BL</t>
  </si>
  <si>
    <t>Rygg B3 svart br33 h20-28 kpl</t>
  </si>
  <si>
    <t>Rygg B3 blå br33 h27-35 kpl</t>
  </si>
  <si>
    <t>5233318BL</t>
  </si>
  <si>
    <t>Rygg B3 svart br33 h27-35 kpl</t>
  </si>
  <si>
    <t>Rygg S3 kpl br 33 h 20</t>
  </si>
  <si>
    <t>5233320 VER2</t>
  </si>
  <si>
    <t>Rygg S3 kpl br 33 h 25</t>
  </si>
  <si>
    <t>5233325 VER2</t>
  </si>
  <si>
    <t>5233325L</t>
  </si>
  <si>
    <t>Rygg U3L kpl br 33 h 25</t>
  </si>
  <si>
    <t>Rygg S3 kpl br 33 h 30</t>
  </si>
  <si>
    <t>5233330 VER2</t>
  </si>
  <si>
    <t>5233330L</t>
  </si>
  <si>
    <t>Rygg U3L kpl br 33 h30</t>
  </si>
  <si>
    <t>Rygg S3 kpl br 33 h 35</t>
  </si>
  <si>
    <t>5233335 VER2</t>
  </si>
  <si>
    <t>5233335L</t>
  </si>
  <si>
    <t>Rygg U3L kpl br 33 h 35</t>
  </si>
  <si>
    <t>Rygg S3 kpl br 33 h 40</t>
  </si>
  <si>
    <t>5233340 VER2</t>
  </si>
  <si>
    <t>Rygg S3 kpl br 33 h 45</t>
  </si>
  <si>
    <t>5233345 VER2</t>
  </si>
  <si>
    <t>Rygg S3 kpl br 36 h 20</t>
  </si>
  <si>
    <t>5233620 VER2</t>
  </si>
  <si>
    <t>Rygg S3 kpl br 36 h 25</t>
  </si>
  <si>
    <t>5233625 VER2</t>
  </si>
  <si>
    <t>5233625L</t>
  </si>
  <si>
    <t>Rygg U3L kpl br 36 h 25</t>
  </si>
  <si>
    <t>Rygg S3 kpl br 36 h 30</t>
  </si>
  <si>
    <t>5233630 VER2</t>
  </si>
  <si>
    <t>5233630L</t>
  </si>
  <si>
    <t>Rygg U3L kpl br 36 h 30</t>
  </si>
  <si>
    <t>Rygg S3 kpl br 36 h 35</t>
  </si>
  <si>
    <t>5233635 VER2</t>
  </si>
  <si>
    <t>5233635L</t>
  </si>
  <si>
    <t>Rygg U3L kpl br 36 h 35</t>
  </si>
  <si>
    <t>Rygg S3 kpl br 36 h 40</t>
  </si>
  <si>
    <t>5233640 VER2</t>
  </si>
  <si>
    <t>Rygg S3 kpl br 36 h 45</t>
  </si>
  <si>
    <t>5233645 VER2</t>
  </si>
  <si>
    <t>Rygg S3 kpl br 39 h 20</t>
  </si>
  <si>
    <t>5233920 VER2</t>
  </si>
  <si>
    <t>5233925 VER2</t>
  </si>
  <si>
    <t>Rygg S3 kpl br 39  h 25</t>
  </si>
  <si>
    <t>5233925L</t>
  </si>
  <si>
    <t>Rygg U3L kpl br 39 h 25</t>
  </si>
  <si>
    <t>Rygg S3 kpl br 39 h 30</t>
  </si>
  <si>
    <t>5233930 VER2</t>
  </si>
  <si>
    <t>5233930L</t>
  </si>
  <si>
    <t>Rygg U3L kpl br 39 h 30</t>
  </si>
  <si>
    <t>Rygg S3 kpl br 39 h 35</t>
  </si>
  <si>
    <t>5233935 VER2</t>
  </si>
  <si>
    <t>5233935L</t>
  </si>
  <si>
    <t>Rygg U3L kpl br 39 h 35</t>
  </si>
  <si>
    <t>Rygg S3 kpl br 39 h 40</t>
  </si>
  <si>
    <t>5233940 VER2</t>
  </si>
  <si>
    <t>Rygg S3 kpl br 39 h 45</t>
  </si>
  <si>
    <t>5233945 VER2</t>
  </si>
  <si>
    <t>Rygg S3 kpl br 42 h 20</t>
  </si>
  <si>
    <t>5234220 VER2</t>
  </si>
  <si>
    <t>5234225 VER2</t>
  </si>
  <si>
    <t>Rygg S3 kpl br 42  h 25</t>
  </si>
  <si>
    <t>5234225L</t>
  </si>
  <si>
    <t>Rygg U3L kpl br 42 h 25</t>
  </si>
  <si>
    <t>5234230 VER2</t>
  </si>
  <si>
    <t>Rygg S3 kpl br 42  h 30</t>
  </si>
  <si>
    <t>5234230L</t>
  </si>
  <si>
    <t>Rygg U3L kpl br 42 h 30</t>
  </si>
  <si>
    <t>5234235 VER2</t>
  </si>
  <si>
    <t>Rygg S3 kpl br 42  h 35</t>
  </si>
  <si>
    <t>5234235L</t>
  </si>
  <si>
    <t>Rygg U3L kpl br 42 h 35</t>
  </si>
  <si>
    <t>5234240 VER2</t>
  </si>
  <si>
    <t>Rygg S3 kpl br 42  h 40</t>
  </si>
  <si>
    <t>5234245 VER2</t>
  </si>
  <si>
    <t>Rygg S3 kpl br 42  h 45</t>
  </si>
  <si>
    <t>Rygg S3 kpl br 45 h 20</t>
  </si>
  <si>
    <t>5234520 VER2</t>
  </si>
  <si>
    <t>Rygg S3 kpl br 45 h 25</t>
  </si>
  <si>
    <t>5234525 VER2</t>
  </si>
  <si>
    <t>5234525L</t>
  </si>
  <si>
    <t>Rygg U3L kpl br 45 h 25</t>
  </si>
  <si>
    <t>Rygg S3 kpl br 45 h 30</t>
  </si>
  <si>
    <t>5234530 VER2</t>
  </si>
  <si>
    <t>5234530L</t>
  </si>
  <si>
    <t>Rygg U3L kpl br 45 h 30</t>
  </si>
  <si>
    <t>Rygg S3 kpl br 45 h 35</t>
  </si>
  <si>
    <t>5234535 VER2</t>
  </si>
  <si>
    <t>5234535L</t>
  </si>
  <si>
    <t>Rygg U3L kpl br 45 h 35</t>
  </si>
  <si>
    <t>Rygg S3 kpl br 45 h 40</t>
  </si>
  <si>
    <t>5234540 VER2</t>
  </si>
  <si>
    <t>Rygg S3 kpl br 45 h 45</t>
  </si>
  <si>
    <t>5234545 VER2</t>
  </si>
  <si>
    <t>Rygg S3 kpl br 50 h 30</t>
  </si>
  <si>
    <t>5235030 VER2</t>
  </si>
  <si>
    <t>Rygg S3 kpl br 50 h 35</t>
  </si>
  <si>
    <t>5235035 VER2</t>
  </si>
  <si>
    <t>Rygg S3 kpl br 50 h 40</t>
  </si>
  <si>
    <t>5235040 VER2</t>
  </si>
  <si>
    <t>Rygg S3 kpl br 50 h 45</t>
  </si>
  <si>
    <t>5235045 VER2</t>
  </si>
  <si>
    <t>Rygg S3 bakåtbockad kpl br30 h25</t>
  </si>
  <si>
    <t>5243025 VER2</t>
  </si>
  <si>
    <t>Rygg S3 bakåtbockad kpl br30 h30</t>
  </si>
  <si>
    <t>5243030 VER2</t>
  </si>
  <si>
    <t>Rygg S3 bakåtbockad kpl br30 h35</t>
  </si>
  <si>
    <t>5243035 VER2</t>
  </si>
  <si>
    <t>Rygg S3 bakåtbockad kpl br30 h40</t>
  </si>
  <si>
    <t>5243040 VER2</t>
  </si>
  <si>
    <t>Rygg S3 bakåtbockad kpl br33 h25</t>
  </si>
  <si>
    <t>5243325 VER2</t>
  </si>
  <si>
    <t>5243325L</t>
  </si>
  <si>
    <t>Rygg U3L bakåtbockad kpl br33 h25</t>
  </si>
  <si>
    <t>Rygg S3 bakåtbockad kpl br33 h30</t>
  </si>
  <si>
    <t>5243330 VER2</t>
  </si>
  <si>
    <t>5243330L</t>
  </si>
  <si>
    <t>Rygg U3L bakåtbockad kpl br33 h30</t>
  </si>
  <si>
    <t>Rygg S3 bakåtbockad kpl br33 h35</t>
  </si>
  <si>
    <t>5243335 VER2</t>
  </si>
  <si>
    <t>5243335L</t>
  </si>
  <si>
    <t>Rygg U3L bakåtbockad kpl br33 h35</t>
  </si>
  <si>
    <t>Rygg S3 bakåtbockad kpl br33 h40</t>
  </si>
  <si>
    <t>5243340 VER2</t>
  </si>
  <si>
    <t>5243625 VER2</t>
  </si>
  <si>
    <t>Rygg S3 bakåtbockad kpl br36 h25</t>
  </si>
  <si>
    <t>5243625L</t>
  </si>
  <si>
    <t>Rygg U3L bakåtbockad kpl br36 h 25</t>
  </si>
  <si>
    <t>5243630 VER2</t>
  </si>
  <si>
    <t>Rygg S3 bakåtbockad kpl br36 h30</t>
  </si>
  <si>
    <t>5243630L</t>
  </si>
  <si>
    <t>Rygg U3L bakåtbockad kpl br36h30</t>
  </si>
  <si>
    <t>Rygg S3 bakåtbockad kpl br36 h35</t>
  </si>
  <si>
    <t>5243635 VER2</t>
  </si>
  <si>
    <t>5243635L</t>
  </si>
  <si>
    <t>Rygg U3L bakåtbockad kpl br36 h 35</t>
  </si>
  <si>
    <t>Rygg S3 bakåtbockad kpl br36 h40</t>
  </si>
  <si>
    <t>5243640 VER2</t>
  </si>
  <si>
    <t>Rygg S3 bakåtbockad kpl br39 h25</t>
  </si>
  <si>
    <t>5243925 VER2</t>
  </si>
  <si>
    <t>5243925L</t>
  </si>
  <si>
    <t>Rygg U3L bakåtbockad kpl br39 h25</t>
  </si>
  <si>
    <t>Rygg S3 bakåtbockad kpl br39 h30</t>
  </si>
  <si>
    <t>5243930 VER2</t>
  </si>
  <si>
    <t>5243930L</t>
  </si>
  <si>
    <t>Rygg U3L bakåtbockad kpl br39 h30</t>
  </si>
  <si>
    <t>Rygg S3 bakåtbockad kpl br39 h35</t>
  </si>
  <si>
    <t>5243935 VER2</t>
  </si>
  <si>
    <t>5243935L</t>
  </si>
  <si>
    <t>Rygg U3L bakåtbockad kp br39 h35</t>
  </si>
  <si>
    <t>Rygg S3 bakåtbockad kpl br39 h40</t>
  </si>
  <si>
    <t>5243940 VER2</t>
  </si>
  <si>
    <t>Rygg S3 bakåtbockad kpl br42 h25</t>
  </si>
  <si>
    <t>5244225 VER2</t>
  </si>
  <si>
    <t>5244225L</t>
  </si>
  <si>
    <t>Rygg U3L bakåtbockad kpl br42 h25</t>
  </si>
  <si>
    <t>Rygg S3 bakåtbockad kpl br42 h30</t>
  </si>
  <si>
    <t>5244230 VER2</t>
  </si>
  <si>
    <t>5244230L</t>
  </si>
  <si>
    <t>Rygg U3L bakåtbockad kpl br42 h30</t>
  </si>
  <si>
    <t>Rygg S3 bakåtbockad kpl br42 h35</t>
  </si>
  <si>
    <t>5244235 VER2</t>
  </si>
  <si>
    <t>5244235L</t>
  </si>
  <si>
    <t>Rygg U3L bakåtbockad kp br42 h35</t>
  </si>
  <si>
    <t>Rygg S3 bakåtbockad kpl br42 h40</t>
  </si>
  <si>
    <t>5244240 VER2</t>
  </si>
  <si>
    <t>Rygg S3 bakåtbockad kpl br45 h25</t>
  </si>
  <si>
    <t>5244525 VER2</t>
  </si>
  <si>
    <t>5244525L</t>
  </si>
  <si>
    <t>Rygg U3L bakåtbockad kp br45 h25</t>
  </si>
  <si>
    <t>Rygg S3 bakåtbockad kpl br45 h30</t>
  </si>
  <si>
    <t>5244530 VER2</t>
  </si>
  <si>
    <t>5244530L</t>
  </si>
  <si>
    <t>Rygg U3L bakåtbockad kpl br45 h30</t>
  </si>
  <si>
    <t>Rygg S3 bakåtbockad kpl br45 h35</t>
  </si>
  <si>
    <t>5244535 VER2</t>
  </si>
  <si>
    <t>5244535L</t>
  </si>
  <si>
    <t>Rygg U3L bakåtbockad kpl br45 h35</t>
  </si>
  <si>
    <t>Rygg S3 bakåtbockad kpl br45 h40</t>
  </si>
  <si>
    <t>5244540 VER2</t>
  </si>
  <si>
    <t>Rygg S3 bakåtbockad kpl br50 h30</t>
  </si>
  <si>
    <t>5245030 VER2</t>
  </si>
  <si>
    <t>Rygg S3 bakåtbockad kpl br50 h35</t>
  </si>
  <si>
    <t>5245035 VER2</t>
  </si>
  <si>
    <t>Rygg S3 bakåtbockad kpl br50 h40</t>
  </si>
  <si>
    <t>5245040 VER2</t>
  </si>
  <si>
    <t>Rygg S3 insvängd kpl br30 h30</t>
  </si>
  <si>
    <t>5253030 VER2</t>
  </si>
  <si>
    <t>Rygg S3 insvängd kpl br30 h35</t>
  </si>
  <si>
    <t>5253035 VER2</t>
  </si>
  <si>
    <t>Rygg S3 insvängd kpl br30 h40</t>
  </si>
  <si>
    <t>5253040 VER2</t>
  </si>
  <si>
    <t>Rygg S3 insvängd kpl br33 h30</t>
  </si>
  <si>
    <t>5253330 VER2</t>
  </si>
  <si>
    <t>5253330L</t>
  </si>
  <si>
    <t>Rygg U3L insvängd kpl br33 h30</t>
  </si>
  <si>
    <t>Rygg S3 insvängd kpl br33 h35</t>
  </si>
  <si>
    <t>5253335 VER2</t>
  </si>
  <si>
    <t>5253335L</t>
  </si>
  <si>
    <t>Rygg U3L insvängd kpl br33 h35</t>
  </si>
  <si>
    <t>Rygg S3 insvängd kpl br33 h40</t>
  </si>
  <si>
    <t>5253340 VER2</t>
  </si>
  <si>
    <t>Rygg S3 insvängd kpl br36 h30</t>
  </si>
  <si>
    <t>5253630 VER2</t>
  </si>
  <si>
    <t>5253630L</t>
  </si>
  <si>
    <t>Rygg U3L insvängd kpl br36 h30</t>
  </si>
  <si>
    <t>Rygg S3 insvängd kpl br36 h35</t>
  </si>
  <si>
    <t>5253635 VER2</t>
  </si>
  <si>
    <t>5253635L</t>
  </si>
  <si>
    <t>Rygg U3L insvängd kpl  br36 h35</t>
  </si>
  <si>
    <t>Rygg S3 insvängd kpl br36 h40</t>
  </si>
  <si>
    <t>5253640 VER2</t>
  </si>
  <si>
    <t>Rygg S3 insvängd kpl br39 h30</t>
  </si>
  <si>
    <t>5253930 VER2</t>
  </si>
  <si>
    <t>5253930L</t>
  </si>
  <si>
    <t>Rygg U3L insvängd kpl br39 h30</t>
  </si>
  <si>
    <t>Rygg S3 insvängd kpl br39 h35</t>
  </si>
  <si>
    <t>5253935 VER2</t>
  </si>
  <si>
    <t>5253935L</t>
  </si>
  <si>
    <t>Rygg U3L insvängd kpl br39 h35</t>
  </si>
  <si>
    <t>5253940 VER2</t>
  </si>
  <si>
    <t>Rygg S3 insvängd kpl br39 h40</t>
  </si>
  <si>
    <t>Rygg S3 insvängd kpl br42 h30</t>
  </si>
  <si>
    <t>5254230 VER2</t>
  </si>
  <si>
    <t>5254230L</t>
  </si>
  <si>
    <t>Rygg U3L insvängd kpl br42 h30</t>
  </si>
  <si>
    <t>Rygg S3 insvängd kpl br42 h35</t>
  </si>
  <si>
    <t>5254235 VER2</t>
  </si>
  <si>
    <t>5254235L</t>
  </si>
  <si>
    <t>Rygg U3L insvängd kpl br42 h35</t>
  </si>
  <si>
    <t>Rygg S3 insvängd kpl br42 h40</t>
  </si>
  <si>
    <t>5254240 VER2</t>
  </si>
  <si>
    <t>Rygg S3 insvängd kpl br45 h30</t>
  </si>
  <si>
    <t>5254530 VER2</t>
  </si>
  <si>
    <t>5254530L</t>
  </si>
  <si>
    <t>Rygg U3L insvängd kpl br45 h30</t>
  </si>
  <si>
    <t>Rygg S3 insvängd kpl br45 h35</t>
  </si>
  <si>
    <t>5254535 VER2</t>
  </si>
  <si>
    <t>5254535L</t>
  </si>
  <si>
    <t>Rygg U3L insvängd kpl br45 h35</t>
  </si>
  <si>
    <t>Rygg S3 insvängd kpl br45 h40</t>
  </si>
  <si>
    <t>5254540 VER2</t>
  </si>
  <si>
    <t>Rygg S3 insvängd kpl  br50 h30</t>
  </si>
  <si>
    <t>5255030 VER2</t>
  </si>
  <si>
    <t>5255035 VER2</t>
  </si>
  <si>
    <t>Rygg S3 insvängd kpl  br50 h35</t>
  </si>
  <si>
    <t>5255040 VER2</t>
  </si>
  <si>
    <t>Rygg S3 insvängd kpl  br50 h40</t>
  </si>
  <si>
    <t>Ryggklädsel B3 blå b24 h20-28 kpl</t>
  </si>
  <si>
    <t>5262417BL</t>
  </si>
  <si>
    <t>Ryggklädsel B3 svart b24 h20-28 kpl</t>
  </si>
  <si>
    <t>Ryggklädsel B3 blå b24 h27-35 kpl</t>
  </si>
  <si>
    <t>5262418BL</t>
  </si>
  <si>
    <t>Ryggklädsel B3 svart b24 h27-35 kpl</t>
  </si>
  <si>
    <t>Ryggklädsel B3 blå b27 h20-28 kpl</t>
  </si>
  <si>
    <t>5262717BL</t>
  </si>
  <si>
    <t>Ryggklädsel B3 svart b27 h20-28 kpl</t>
  </si>
  <si>
    <t>Ryggklädsel B3 blå b27 h27-35 kpl</t>
  </si>
  <si>
    <t>5262718BL</t>
  </si>
  <si>
    <t>Ryggklädsel B3 svart b27 h27-35 kpl</t>
  </si>
  <si>
    <t>Ryggklädsel S3 br 27 hö 25</t>
  </si>
  <si>
    <t>Ryggklädsel S3 br 27 hö 30</t>
  </si>
  <si>
    <t>Ryggklädsel S3 br 27 hö 35</t>
  </si>
  <si>
    <t>Ryggklädsel S3 br 27 hö 40</t>
  </si>
  <si>
    <t>Ryggklädsel B3 blå b30 h20-28 kpl</t>
  </si>
  <si>
    <t>5263017BL</t>
  </si>
  <si>
    <t>Ryggklädsel B3 svart b30 h20-28 kpl</t>
  </si>
  <si>
    <t>Ryggklädsel B3 blå b30 h27-35 kpl</t>
  </si>
  <si>
    <t>5263018BL</t>
  </si>
  <si>
    <t>Ryggklädsel B3 svart b30 h27-35 kpl</t>
  </si>
  <si>
    <t>Ryggklädsel S3 br 30 hö 20</t>
  </si>
  <si>
    <t>Ryggklädsel S3 br 30 hö 25</t>
  </si>
  <si>
    <t>Ryggklädsel S3 br 30 hö 30</t>
  </si>
  <si>
    <t>5263030T</t>
  </si>
  <si>
    <t>Ryggklädsel S3 insvängd br 30 hö 30</t>
  </si>
  <si>
    <t>Ryggklädsel S3 br 30 hö 35</t>
  </si>
  <si>
    <t>5263035T</t>
  </si>
  <si>
    <t>Ryggklädsel S3 insvängd br 30 hö 35</t>
  </si>
  <si>
    <t>Ryggklädsel S3 br 30 hö 40</t>
  </si>
  <si>
    <t>5263040T</t>
  </si>
  <si>
    <t>Ryggklädsel S3 insvängd br 30 hö 40</t>
  </si>
  <si>
    <t>Ryggklädsel S3 br 30 hö 45</t>
  </si>
  <si>
    <t>Ryggklädsel B3 blå b33 h20-28 kpl</t>
  </si>
  <si>
    <t>5263317BL</t>
  </si>
  <si>
    <t>Ryggklädsel B3 svart b33 h20-28 kpl</t>
  </si>
  <si>
    <t>Ryggklädsel B3 blå b33 h27-35 kpl</t>
  </si>
  <si>
    <t>5263318BL</t>
  </si>
  <si>
    <t>Ryggklädsel B3 svart b33 h27-35 kpl</t>
  </si>
  <si>
    <t>Ryggklädsel S3 br 33 hö 20</t>
  </si>
  <si>
    <t>5263320L</t>
  </si>
  <si>
    <t>Ryggklädsel Light b33h20</t>
  </si>
  <si>
    <t>Ryggklädsel S3 br 33 hö 25</t>
  </si>
  <si>
    <t>5263325L</t>
  </si>
  <si>
    <t>Ryggklädsel Light b33h25</t>
  </si>
  <si>
    <t>Ryggklädsel S3 br 33 hö 30</t>
  </si>
  <si>
    <t>5263330L</t>
  </si>
  <si>
    <t>Ryggklädsel Light b33h30</t>
  </si>
  <si>
    <t>5263330LT</t>
  </si>
  <si>
    <t>Ryggklädsel Light insvängd b33h30</t>
  </si>
  <si>
    <t>5263330T</t>
  </si>
  <si>
    <t>Ryggklädsel S3 insväng  br 33 hö 30</t>
  </si>
  <si>
    <t>Ryggklädsel S3 br 33 hö 35</t>
  </si>
  <si>
    <t>5263335L</t>
  </si>
  <si>
    <t>Ryggklädsel Light b33h35</t>
  </si>
  <si>
    <t>5263335LT</t>
  </si>
  <si>
    <t>Ryggklädsel Light insvängd b33h35</t>
  </si>
  <si>
    <t>5263335T</t>
  </si>
  <si>
    <t>Ryggklädsel S3 insväng  br 33 hö 35</t>
  </si>
  <si>
    <t>Ryggklädsel S3 br 33 hö 40</t>
  </si>
  <si>
    <t>5263340T</t>
  </si>
  <si>
    <t>Ryggklädsel S3 insväng  br 33 hö 40</t>
  </si>
  <si>
    <t>Ryggklädsel S3 br 33 hö 45</t>
  </si>
  <si>
    <t>Ryggklädsel S3 br 36 hö 20</t>
  </si>
  <si>
    <t>5263620L</t>
  </si>
  <si>
    <t>Ryggklädsel Light b36h20</t>
  </si>
  <si>
    <t>Ryggklädsel S3 br 36 hö 25</t>
  </si>
  <si>
    <t>5263625L</t>
  </si>
  <si>
    <t>Ryggklädsel Light b36 h25</t>
  </si>
  <si>
    <t>Ryggklädsel S3 br 36 hö 30</t>
  </si>
  <si>
    <t>5263630L</t>
  </si>
  <si>
    <t>Ryggklädsel Light b36h30</t>
  </si>
  <si>
    <t>5263630LT</t>
  </si>
  <si>
    <t>Ryggklädsel Light insvängd b36h30</t>
  </si>
  <si>
    <t>5263630T</t>
  </si>
  <si>
    <t>Ryggklädsel S3 insvängd br 36 hö 30</t>
  </si>
  <si>
    <t>Ryggklädsel S3 br 36 hö 35</t>
  </si>
  <si>
    <t>5263635L</t>
  </si>
  <si>
    <t>Ryggklädsel Light b36h35</t>
  </si>
  <si>
    <t>5263635LT</t>
  </si>
  <si>
    <t>Ryggklädsel Light insvängd b36h35</t>
  </si>
  <si>
    <t>5263635T</t>
  </si>
  <si>
    <t>Ryggklädsel S3 insvängd br 36 hö 35</t>
  </si>
  <si>
    <t>Ryggklädsel S3 br 36 hö 40</t>
  </si>
  <si>
    <t>5263640T</t>
  </si>
  <si>
    <t>Ryggklädsel S3 insväng  br 36 hö 40</t>
  </si>
  <si>
    <t>Ryggklädsel S3 br 36 hö 45</t>
  </si>
  <si>
    <t>Ryggklädsel S3 br 39 hö 20</t>
  </si>
  <si>
    <t>5263920L</t>
  </si>
  <si>
    <t>Ryggklädsel Light b39h20</t>
  </si>
  <si>
    <t>Ryggklädsel S3 br 39 hö 25</t>
  </si>
  <si>
    <t>5263925L</t>
  </si>
  <si>
    <t>Ryggklädsel Light b39 h25</t>
  </si>
  <si>
    <t>Ryggklädsel S3 br 39 hö 30</t>
  </si>
  <si>
    <t>5263930L</t>
  </si>
  <si>
    <t>Ryggklädsel Light b39h30</t>
  </si>
  <si>
    <t>5263930LT</t>
  </si>
  <si>
    <t>Ryggklädsel Light insvängd b39h30</t>
  </si>
  <si>
    <t>5263930T</t>
  </si>
  <si>
    <t>Ryggklädsel S3 insvängd br 39 hö 30</t>
  </si>
  <si>
    <t>Ryggklädsel S3 br 39 hö 35</t>
  </si>
  <si>
    <t>5263935L</t>
  </si>
  <si>
    <t>Ryggklädsel Light b39h35</t>
  </si>
  <si>
    <t>5263935LT</t>
  </si>
  <si>
    <t>Ryggklädsel Light insvängd b39h35</t>
  </si>
  <si>
    <t>5263935T</t>
  </si>
  <si>
    <t>Ryggklädsel S3 insvängd br 39 hö 35</t>
  </si>
  <si>
    <t>Ryggklädsel S3 br 39 hö 40</t>
  </si>
  <si>
    <t>5263940T</t>
  </si>
  <si>
    <t>Ryggklädsel S3 insvängd br 39 hö 40</t>
  </si>
  <si>
    <t>Ryggklädsel S3 br 39 hö 45</t>
  </si>
  <si>
    <t>Ryggklädsel S3 br 42 hö 20</t>
  </si>
  <si>
    <t>5264220L</t>
  </si>
  <si>
    <t>Ryggklädsel Light b42h20</t>
  </si>
  <si>
    <t>Ryggklädsel S3 br 42 hö 25</t>
  </si>
  <si>
    <t>5264225L</t>
  </si>
  <si>
    <t>Ryggklädsel Light b42h25</t>
  </si>
  <si>
    <t>Ryggklädsel S3 br 42 hö 30</t>
  </si>
  <si>
    <t>5264230L</t>
  </si>
  <si>
    <t>Ryggklädsel Light b42h30</t>
  </si>
  <si>
    <t>5264230LT</t>
  </si>
  <si>
    <t>Ryggklädsel Light insvängd b42h30</t>
  </si>
  <si>
    <t>5264230T</t>
  </si>
  <si>
    <t>Ryggklädsel S3 insvängd br 42 hö 30</t>
  </si>
  <si>
    <t>Ryggklädsel S3 br 42 hö 35</t>
  </si>
  <si>
    <t>5264235L</t>
  </si>
  <si>
    <t>Ryggklädsel Light b42h35</t>
  </si>
  <si>
    <t>5264235LT</t>
  </si>
  <si>
    <t>Ryggklädsel Light insvängd b42h35</t>
  </si>
  <si>
    <t>5264235T</t>
  </si>
  <si>
    <t>Ryggklädsel S3 insvängd br 42 hö 35</t>
  </si>
  <si>
    <t>Ryggklädsel S3 br 42 hö 40</t>
  </si>
  <si>
    <t>5264240T</t>
  </si>
  <si>
    <t>Ryggklädsel S3 insvängd br 42 hö 40</t>
  </si>
  <si>
    <t>Ryggklädsel S3 br 42 hö 45</t>
  </si>
  <si>
    <t>Ryggklädsel S3 br 45 hö 20</t>
  </si>
  <si>
    <t>5264520L</t>
  </si>
  <si>
    <t>Ryggklädsel Light b45h20</t>
  </si>
  <si>
    <t>Ryggklädsel S3 br 45 hö 25</t>
  </si>
  <si>
    <t>5264525L</t>
  </si>
  <si>
    <t>Ryggklädsel Light b45h25</t>
  </si>
  <si>
    <t>Ryggklädsel S3 br 45 hö 30</t>
  </si>
  <si>
    <t>5264530L</t>
  </si>
  <si>
    <t>Ryggklädsel Light b45h30</t>
  </si>
  <si>
    <t>5264530LT</t>
  </si>
  <si>
    <t>Ryggklädsel Light insvängd b45h30</t>
  </si>
  <si>
    <t>5264530T</t>
  </si>
  <si>
    <t>Ryggklädsel S3 insväng  br 45 hö 30</t>
  </si>
  <si>
    <t>Ryggklädsel S3 br 45 hö 35</t>
  </si>
  <si>
    <t>5264535L</t>
  </si>
  <si>
    <t>Ryggklädsel Light b45h35</t>
  </si>
  <si>
    <t>5264535LT</t>
  </si>
  <si>
    <t>Ryggklädsel Light insvängd b45h35</t>
  </si>
  <si>
    <t>5264535T</t>
  </si>
  <si>
    <t>Ryggklädsel S3 insvängd br 45 hö 35</t>
  </si>
  <si>
    <t>Ryggklädsel S3 br 45 hö 40</t>
  </si>
  <si>
    <t>5264540T</t>
  </si>
  <si>
    <t>Ryggklädsel S3 insvängd br 45 hö 40</t>
  </si>
  <si>
    <t>Ryggklädsel S3 br 45 hö 45</t>
  </si>
  <si>
    <t>Ryggklädsel S3 br 50 hö 25</t>
  </si>
  <si>
    <t>Ryggklädsel S3 br 50 hö 30</t>
  </si>
  <si>
    <t>Ryggklädsel S3 br 50 hö 35</t>
  </si>
  <si>
    <t>5265035T</t>
  </si>
  <si>
    <t>Ryggklädsel S3 insväng  br 50 hö 35</t>
  </si>
  <si>
    <t>Ryggklädsel S3 br 50 hö 40</t>
  </si>
  <si>
    <t>5265040T</t>
  </si>
  <si>
    <t>Ryggklädsel S3 insväng  br 50 hö 40</t>
  </si>
  <si>
    <t>Ryggklädsel S3 br 50 hö 45</t>
  </si>
  <si>
    <t>5265045T</t>
  </si>
  <si>
    <t>Ryggklädsel S3 insväng  br 50 hö 45</t>
  </si>
  <si>
    <t>Ryggklädsel överdel kpl. br 27</t>
  </si>
  <si>
    <t>Ryggklädsel överdel kpl. br 30</t>
  </si>
  <si>
    <t>Ryggklädsel överdel kpl. br 33</t>
  </si>
  <si>
    <t>Ryggklädsel överdel kpl. br 36</t>
  </si>
  <si>
    <t>Ryggklädsel överdel kpl. br 39</t>
  </si>
  <si>
    <t>Ryggklädsel överdel kpl. br 42</t>
  </si>
  <si>
    <t>Ryggklädsel överdel kpl. br 45</t>
  </si>
  <si>
    <t>Ryggklädsel överdel kpl. br 50</t>
  </si>
  <si>
    <t>Ryggklädsel överdel b33-20kpl m rem</t>
  </si>
  <si>
    <t>Ryggklädsel överdel b36-20 kpl mrem</t>
  </si>
  <si>
    <t>Ryggklädsel överdel b39-20kpl m rem</t>
  </si>
  <si>
    <t>Ryggklädsel överdel b42-20kpl m rem</t>
  </si>
  <si>
    <t>Ryggklädsel överdel b45-20kpl m rem</t>
  </si>
  <si>
    <t>Ryggklädsel överdel B3 br24 kpl</t>
  </si>
  <si>
    <t>Ryggklädsel överdel B3 br27 kpl</t>
  </si>
  <si>
    <t>Ryggklädsel överdel B3 br30 kpl</t>
  </si>
  <si>
    <t>Ryggklädsel överdel B3 br33 kpl</t>
  </si>
  <si>
    <t>Sittklädsel B3 24 Kort (20cm)</t>
  </si>
  <si>
    <t xml:space="preserve">Sittklädsel B3 24 (25cm) </t>
  </si>
  <si>
    <t xml:space="preserve">Sittklädsel B3 27 Kort (20cm) </t>
  </si>
  <si>
    <t xml:space="preserve">Sittklädsel B3 27 (25cm) </t>
  </si>
  <si>
    <t>Sitsförlängare SF1</t>
  </si>
  <si>
    <t xml:space="preserve">Sittklädsel B3 30 (25cm) </t>
  </si>
  <si>
    <t>Sittklädsel m skena S3 30 extr.kort</t>
  </si>
  <si>
    <t>Sittklädsel m skena S3 Kort 30</t>
  </si>
  <si>
    <t>Sitsförlängare SF2</t>
  </si>
  <si>
    <t>Sittklädsel kpl S3kort 30 just.</t>
  </si>
  <si>
    <t>Sittklädsel m skena S3 30 std(40cm)</t>
  </si>
  <si>
    <t>Sittklädsel U3 33 kpl</t>
  </si>
  <si>
    <t xml:space="preserve">Sittklädsel B3 33  (25cm) </t>
  </si>
  <si>
    <t>Sittklädsel m skena S3 33 extr.kort</t>
  </si>
  <si>
    <t>Sittklädsel m skena S3 33 kort</t>
  </si>
  <si>
    <t>Sitsförlängare SF3</t>
  </si>
  <si>
    <t>Sittklädsel kpl S3kort 33 just.</t>
  </si>
  <si>
    <t>Sittklädsel m skena S3 33 std(40cm)</t>
  </si>
  <si>
    <t>Sittklädsel m skena S3 33 large</t>
  </si>
  <si>
    <t>Sittklädsel U3 36 kpl</t>
  </si>
  <si>
    <t>Sittklädsel m skena S3 36 extr.kort</t>
  </si>
  <si>
    <t>Sittklädsel m skena S3 36 kort</t>
  </si>
  <si>
    <t>Sitsförlängare SF4</t>
  </si>
  <si>
    <t>Sittklädsel kpl S3kort 36 just.</t>
  </si>
  <si>
    <t>Sittklädsel m skena S3 36 std(40cm)</t>
  </si>
  <si>
    <t>Sittklädsel m skena S3 36 large</t>
  </si>
  <si>
    <t>Sittklädsel U3 39 kpl</t>
  </si>
  <si>
    <t>Sittklädsel m skena S3 39 extr.kort</t>
  </si>
  <si>
    <t xml:space="preserve">Sittklädsel m skena S3 39 kort </t>
  </si>
  <si>
    <t>Sitsförlängare SF5</t>
  </si>
  <si>
    <t>Sittklädsel kpl S3kort 39 just.</t>
  </si>
  <si>
    <t>Sittklädsel m skena S3 39 std(40cm)</t>
  </si>
  <si>
    <t>Sittklädsel m skena S3 39 large</t>
  </si>
  <si>
    <t>Sittklädsel U3 42 kpl</t>
  </si>
  <si>
    <t>Sittklädsel m skena S3 42 extr.kort</t>
  </si>
  <si>
    <t>Sittklädsel m skena S3 42 kort</t>
  </si>
  <si>
    <t>Sitsförlängare SF6</t>
  </si>
  <si>
    <t>Sittklädsel kpl S3kort 42 just.</t>
  </si>
  <si>
    <t>Sittklädsel m skena S3 42 std(40cm)</t>
  </si>
  <si>
    <t xml:space="preserve">Sittklädsel m skena S3 42 large </t>
  </si>
  <si>
    <t>Sittklädsel U3 45 kpl</t>
  </si>
  <si>
    <t>Sittklädsel m skena S3 45 extr.kort</t>
  </si>
  <si>
    <t>Sittklädsel m skena S3 45 kort</t>
  </si>
  <si>
    <t>Sitsförlängare SF7</t>
  </si>
  <si>
    <t>Sittklädsel m skena S3 45 std(40cm)</t>
  </si>
  <si>
    <t xml:space="preserve">Sittklädsel m skena S3 45 large </t>
  </si>
  <si>
    <t>Sittklädsel m skena S3 50 std(40cm)</t>
  </si>
  <si>
    <t>Sittklädsel m skena S3 50 large</t>
  </si>
  <si>
    <t>Sittklädsel Micro 3 24 (15cm) kpl</t>
  </si>
  <si>
    <t>Sittklädsel B3 24 Kort (20cm) kpl</t>
  </si>
  <si>
    <t>Sittklädsel M3 24 lång (20cm) kpl</t>
  </si>
  <si>
    <t>Sittklädsel B3 24 (25cm) kpl</t>
  </si>
  <si>
    <t>Sittklädsel M3 27 (15cm) kpl</t>
  </si>
  <si>
    <t>Sittklädsel B3 27 Kort (20cm) kpl</t>
  </si>
  <si>
    <t>Sittklädsel M3 27 lång (20cm) kpl</t>
  </si>
  <si>
    <t>Sittklädsel B3 27 (25cm) kpl</t>
  </si>
  <si>
    <t>Sittklädsel S3 kort Abd 27 kpl</t>
  </si>
  <si>
    <t>Sittklädsel B3 30 (25cm) kpl</t>
  </si>
  <si>
    <t>Sittklädsel S3 kort Abd 30 kpl</t>
  </si>
  <si>
    <t>Sittklädsel B3 33 (25cm) kpl</t>
  </si>
  <si>
    <t>Sittklädsel S3 kort Abd 33 kpl</t>
  </si>
  <si>
    <t>Ryggmatta B3 blå b24 h20-28</t>
  </si>
  <si>
    <t>5362417BL</t>
  </si>
  <si>
    <t>Ryggmatta B3 svart b24 h20-28</t>
  </si>
  <si>
    <t>Ryggmatta B3 blå b27 h20-28</t>
  </si>
  <si>
    <t>5362717BL</t>
  </si>
  <si>
    <t>Ryggmatta B3 svart b27 h20-28</t>
  </si>
  <si>
    <t>Ryggmatta S3 br 33 hö 40</t>
  </si>
  <si>
    <t>Ryggmatta S3 br 33 hö 45</t>
  </si>
  <si>
    <t>Ryggmatta S3 br 36 hö 20</t>
  </si>
  <si>
    <t>5363620L</t>
  </si>
  <si>
    <t>Ryggmatta Light br 36 hö 20</t>
  </si>
  <si>
    <t>Ryggmatta S3 br 36 hö 25</t>
  </si>
  <si>
    <t>5363625L</t>
  </si>
  <si>
    <t>Ryggmatta Light br 36 hö 25</t>
  </si>
  <si>
    <t>Ryggmatta S3 br 36 hö 30</t>
  </si>
  <si>
    <t>5363630L</t>
  </si>
  <si>
    <t>Ryggmatta Light br 36 hö 30</t>
  </si>
  <si>
    <t>Ryggmatta S3 br 36 hö 35</t>
  </si>
  <si>
    <t>5363635L</t>
  </si>
  <si>
    <t>Ryggmatta Light br 36 hö 35</t>
  </si>
  <si>
    <t>Ryggmatta S3 br 36 hö 40</t>
  </si>
  <si>
    <t>Ryggmatta S3 br 36 hö 45</t>
  </si>
  <si>
    <t>Ryggmatta S3 br 39 hö 20</t>
  </si>
  <si>
    <t>5363920L</t>
  </si>
  <si>
    <t>Ryggmatta Light br 39 hö 20</t>
  </si>
  <si>
    <t>Ryggmatta S3 br 39 hö 25</t>
  </si>
  <si>
    <t>5363925L</t>
  </si>
  <si>
    <t>Ryggmatta Light br 39 hö 25</t>
  </si>
  <si>
    <t>Ryggmatta S3 br 39 hö 30</t>
  </si>
  <si>
    <t>5363930L</t>
  </si>
  <si>
    <t>Ryggmatta Light br 39 hö 30</t>
  </si>
  <si>
    <t>Ryggmatta S3 br 39 hö 35</t>
  </si>
  <si>
    <t>5363935L</t>
  </si>
  <si>
    <t>Ryggmatta Light br 39 hö 35</t>
  </si>
  <si>
    <t>Ryggmatta S3 br 39 hö 40</t>
  </si>
  <si>
    <t>Ryggmatta S3 br 39 hö 45</t>
  </si>
  <si>
    <t>Ryggmatta S3 br 42 hö 20</t>
  </si>
  <si>
    <t>5364220L</t>
  </si>
  <si>
    <t>Ryggmatta Light br 42 hö 20</t>
  </si>
  <si>
    <t>Ryggmatta S3 br 42 hö 25</t>
  </si>
  <si>
    <t>5364225L</t>
  </si>
  <si>
    <t>Ryggmatta Light br 42 hö 25</t>
  </si>
  <si>
    <t>Ryggmatta S3 br 42 hö 30</t>
  </si>
  <si>
    <t>5364230L</t>
  </si>
  <si>
    <t>Ryggmatta Light br 42 hö 30</t>
  </si>
  <si>
    <t>Ryggmatta S3 br 42 hö 35</t>
  </si>
  <si>
    <t>5364235L</t>
  </si>
  <si>
    <t>Ryggmatta Light br 42 hö 35</t>
  </si>
  <si>
    <t>Ryggmatta S3 br 42 hö 40</t>
  </si>
  <si>
    <t>Ryggmatta S3 br 42 hö 45</t>
  </si>
  <si>
    <t>Ryggmatta S3 br 45 hö 20</t>
  </si>
  <si>
    <t>5364520L</t>
  </si>
  <si>
    <t>Ryggmatta Light br 45 hö 20</t>
  </si>
  <si>
    <t>Ryggmatta S3 br 45 hö 25</t>
  </si>
  <si>
    <t>5364525L</t>
  </si>
  <si>
    <t>Ryggmatta Light br 45 hö 25</t>
  </si>
  <si>
    <t>Ryggmatta S3 br 45 hö 30</t>
  </si>
  <si>
    <t>5364530L</t>
  </si>
  <si>
    <t>Ryggmatta Light br 45 hö 30</t>
  </si>
  <si>
    <t>Ryggmatta S3 br 45 hö 35</t>
  </si>
  <si>
    <t>5364535L</t>
  </si>
  <si>
    <t>Ryggmatta Light br 45 hö 35</t>
  </si>
  <si>
    <t>Ryggmatta S3 br 45 hö 40</t>
  </si>
  <si>
    <t>Ryggmatta S3 br 45 hö 45</t>
  </si>
  <si>
    <t>Ryggmatta S3 br 50 hö 25</t>
  </si>
  <si>
    <t>Ryggmatta S3 br 50 hö 30</t>
  </si>
  <si>
    <t>Ryggmatta S3 br 50 hö 35</t>
  </si>
  <si>
    <t>Ryggmatta S3 br 50 hö 40</t>
  </si>
  <si>
    <t>Ryggmatta S3 br 50 hö 45</t>
  </si>
  <si>
    <t>Justerband rygg br 24</t>
  </si>
  <si>
    <t>Justerband rygg br 27</t>
  </si>
  <si>
    <t>Justerband rygg br 30</t>
  </si>
  <si>
    <t>Justerband rygg br 33</t>
  </si>
  <si>
    <t>5473300BLG</t>
  </si>
  <si>
    <t>Rullstol S3 Swing 33 svart</t>
  </si>
  <si>
    <t>5473600BLG</t>
  </si>
  <si>
    <t>Rullstol S3 Swing 36 svart</t>
  </si>
  <si>
    <t>5473600GP</t>
  </si>
  <si>
    <t>Rullstol S3 Swing 36 olackerad</t>
  </si>
  <si>
    <t>5473900BLG</t>
  </si>
  <si>
    <t>Rullstol S3 Swing 39 svart</t>
  </si>
  <si>
    <t>5473900GP</t>
  </si>
  <si>
    <t>Rullstol S3 Swing 39 olackerad</t>
  </si>
  <si>
    <t>5474200BLG</t>
  </si>
  <si>
    <t>Rullstol S3 Swing 42 svart</t>
  </si>
  <si>
    <t>5474200GP</t>
  </si>
  <si>
    <t>Rullstol S3 Swing 42 olackerad</t>
  </si>
  <si>
    <t>5474500BLG</t>
  </si>
  <si>
    <t>Rullstol S3 Swing 45 svart</t>
  </si>
  <si>
    <t>5474500GP</t>
  </si>
  <si>
    <t>Rullstol S3 Swing 45 olackerad</t>
  </si>
  <si>
    <t>5474800GP</t>
  </si>
  <si>
    <t>Rullstol S3 Swing 48 olackerad</t>
  </si>
  <si>
    <t>5475000BLG</t>
  </si>
  <si>
    <t>Rullstol S3 Swing 50 svart</t>
  </si>
  <si>
    <t>5475000GP</t>
  </si>
  <si>
    <t>Rullstol S3 Swing 50 olackerad</t>
  </si>
  <si>
    <t>5483300BLG</t>
  </si>
  <si>
    <t>Rullstol S3 33 svart</t>
  </si>
  <si>
    <t>5483300G</t>
  </si>
  <si>
    <t>Rullstol S3 33 grå</t>
  </si>
  <si>
    <t>5483300GP</t>
  </si>
  <si>
    <t>Rullstol S3 33 olackerad</t>
  </si>
  <si>
    <t>5483600BLG</t>
  </si>
  <si>
    <t>Rullstol S3 36 svart</t>
  </si>
  <si>
    <t>5483600G</t>
  </si>
  <si>
    <t>Rullstol S3 36 grå</t>
  </si>
  <si>
    <t>5483600GP</t>
  </si>
  <si>
    <t>Rullstol S3 36 olackerad</t>
  </si>
  <si>
    <t>5483900BLG</t>
  </si>
  <si>
    <t>Rullstol S3 39 svart</t>
  </si>
  <si>
    <t>5483900G</t>
  </si>
  <si>
    <t>Rullstol S3 39 grå</t>
  </si>
  <si>
    <t>5483900GP</t>
  </si>
  <si>
    <t>Rullstol S3 39 olackerad</t>
  </si>
  <si>
    <t>5484200BLG</t>
  </si>
  <si>
    <t>Rullstol S3 42 svart</t>
  </si>
  <si>
    <t>5484200G</t>
  </si>
  <si>
    <t>Rullstol S3 42 grå</t>
  </si>
  <si>
    <t>5484200GP</t>
  </si>
  <si>
    <t>Rullstol S3 42 olackerad</t>
  </si>
  <si>
    <t>5484500BLG</t>
  </si>
  <si>
    <t>Rullstol S3 45 svart</t>
  </si>
  <si>
    <t>5484500G</t>
  </si>
  <si>
    <t>Rullstol S3 45 grå</t>
  </si>
  <si>
    <t>5484500GP</t>
  </si>
  <si>
    <t>Rullstol S3 45 olackerad</t>
  </si>
  <si>
    <t>5484800GP</t>
  </si>
  <si>
    <t>Rullstol S3 48 olackerad</t>
  </si>
  <si>
    <t>5485000BLG</t>
  </si>
  <si>
    <t>Rullstol S3 50 svart</t>
  </si>
  <si>
    <t>5485000G</t>
  </si>
  <si>
    <t>Rullstol S3 50 grå</t>
  </si>
  <si>
    <t>5485000GP</t>
  </si>
  <si>
    <t>Rullstol S3 50 olackerad</t>
  </si>
  <si>
    <t>5493000BLG</t>
  </si>
  <si>
    <t>Rullstol S3 Kort 30 svart</t>
  </si>
  <si>
    <t>5493000G</t>
  </si>
  <si>
    <t>Rullstol S3 Kort 30 grå</t>
  </si>
  <si>
    <t>5493000GP</t>
  </si>
  <si>
    <t>Rullstol S3 Kort 30 olackerad</t>
  </si>
  <si>
    <t>5493300BLG</t>
  </si>
  <si>
    <t>Rullstol S3 Kort 33 svart</t>
  </si>
  <si>
    <t>5493300G</t>
  </si>
  <si>
    <t>Rullstol S3 Kort 33 grå</t>
  </si>
  <si>
    <t>5493300GP</t>
  </si>
  <si>
    <t>Rullstol S3 Kort 33 olackerad</t>
  </si>
  <si>
    <t>5493600BLG</t>
  </si>
  <si>
    <t>Rullstol S3 Kort 36 svart</t>
  </si>
  <si>
    <t>5493600G</t>
  </si>
  <si>
    <t>Rullstol S3 Kort 36 grå</t>
  </si>
  <si>
    <t>5493600GP</t>
  </si>
  <si>
    <t>Rullstol S3 Kort 36 olackerad</t>
  </si>
  <si>
    <t>5493900BLG</t>
  </si>
  <si>
    <t>Rullstol S3 Kort 39 svart</t>
  </si>
  <si>
    <t>5493900G</t>
  </si>
  <si>
    <t>Rullstol S3 Kort 39 grå</t>
  </si>
  <si>
    <t>5493900GP</t>
  </si>
  <si>
    <t>Rullstol S3 Kort 39 olackerad</t>
  </si>
  <si>
    <t>5494200BLG</t>
  </si>
  <si>
    <t>Rullstol S3 Kort 42 svart</t>
  </si>
  <si>
    <t>5494200G</t>
  </si>
  <si>
    <t>Rullstol S3 Kort 42 grå</t>
  </si>
  <si>
    <t>5494200GP</t>
  </si>
  <si>
    <t>Rullstol S3 Kort 42 olackerad</t>
  </si>
  <si>
    <t>5494500BLG</t>
  </si>
  <si>
    <t>Rullstol S3 Kort 45 svart</t>
  </si>
  <si>
    <t>5494500G</t>
  </si>
  <si>
    <t>Rullstol S3 Kort 45 grå</t>
  </si>
  <si>
    <t>5513300BLG</t>
  </si>
  <si>
    <t>Rullstol U3 33 svart</t>
  </si>
  <si>
    <t>5513300GP</t>
  </si>
  <si>
    <t>Rullstol U3 33 olackerad</t>
  </si>
  <si>
    <t>5513600BLG</t>
  </si>
  <si>
    <t>Rullstol U3 36 svart</t>
  </si>
  <si>
    <t>5513600GP</t>
  </si>
  <si>
    <t>Rullstol U3 36 olackerad</t>
  </si>
  <si>
    <t>5513900BLG</t>
  </si>
  <si>
    <t>Rullstol U3 39 svart</t>
  </si>
  <si>
    <t>5513900GP</t>
  </si>
  <si>
    <t>Rullstol U3 39 olackerad</t>
  </si>
  <si>
    <t>5514200BLG</t>
  </si>
  <si>
    <t>Rullstol U3 42 svart</t>
  </si>
  <si>
    <t>5514200GP</t>
  </si>
  <si>
    <t>Rullstol U3 42 olackerad</t>
  </si>
  <si>
    <t>5514500BLG</t>
  </si>
  <si>
    <t>Rullstol U3 45 svart</t>
  </si>
  <si>
    <t>5514500GP</t>
  </si>
  <si>
    <t>Rullstol U3 45 olackerad</t>
  </si>
  <si>
    <t>5523300BLG</t>
  </si>
  <si>
    <t>Rullstol S3 Kort låg 33 svart</t>
  </si>
  <si>
    <t>5523300GP</t>
  </si>
  <si>
    <t>Rullstol S3 Kort låg 33 olackerad</t>
  </si>
  <si>
    <t>5523600BLG</t>
  </si>
  <si>
    <t>Rullstol S3 Kort låg 36 svart</t>
  </si>
  <si>
    <t>5523600GP</t>
  </si>
  <si>
    <t>Rullstol S3 Kort låg 36 olackerad</t>
  </si>
  <si>
    <t>5523900BLG</t>
  </si>
  <si>
    <t>Rullstol S3 Kort låg 39 svart</t>
  </si>
  <si>
    <t>5523900GP</t>
  </si>
  <si>
    <t>Rullstol S3 Kort låg 39 olackerad</t>
  </si>
  <si>
    <t>5524200BLG</t>
  </si>
  <si>
    <t>Rullstol S3 Kort låg 42 svart</t>
  </si>
  <si>
    <t>5533300BLG</t>
  </si>
  <si>
    <t>Rullstol S3 Swing Kort 33 svart</t>
  </si>
  <si>
    <t>5533300GP</t>
  </si>
  <si>
    <t>Rullstol S3 Swing Kort 33 olackerad</t>
  </si>
  <si>
    <t>5533600BLG</t>
  </si>
  <si>
    <t>Rullstol S3 Swing Kort 36 svart</t>
  </si>
  <si>
    <t>5533600GP</t>
  </si>
  <si>
    <t>Rullstol S3 Swing Kort 36 olackerad</t>
  </si>
  <si>
    <t>5533900BLG</t>
  </si>
  <si>
    <t>Rullstol S3 Swing Kort 39 svart</t>
  </si>
  <si>
    <t>5533900GP</t>
  </si>
  <si>
    <t>Rullstol S3 Swing Kort 39 olackerad</t>
  </si>
  <si>
    <t>5534200GP</t>
  </si>
  <si>
    <t>Rullstol S3 Swing Kort 42 olackerad</t>
  </si>
  <si>
    <t>5543900BLG</t>
  </si>
  <si>
    <t>Rullstol S3 Large 39 svart</t>
  </si>
  <si>
    <t>5543900GP</t>
  </si>
  <si>
    <t>Rullstol S3 Large 39 olackerad</t>
  </si>
  <si>
    <t>5544200BLG</t>
  </si>
  <si>
    <t>Rullstol S3 Large 42 svart</t>
  </si>
  <si>
    <t>5544200GP</t>
  </si>
  <si>
    <t>Rullstol S3 Large 42 olackerad</t>
  </si>
  <si>
    <t>5544500BLG</t>
  </si>
  <si>
    <t>Rullstol S3 Large 45 svart</t>
  </si>
  <si>
    <t>5544500GP</t>
  </si>
  <si>
    <t>Rullstol S3 Large 45 olackerad</t>
  </si>
  <si>
    <t>5545000BLG</t>
  </si>
  <si>
    <t>Rullstol S3 Large 50 svart</t>
  </si>
  <si>
    <t>5545000GP</t>
  </si>
  <si>
    <t>Rullstol S3 Large 50 olackerad</t>
  </si>
  <si>
    <t>5552700BLG</t>
  </si>
  <si>
    <t>Rullstol S3 kort abd. 4° 27 svart</t>
  </si>
  <si>
    <t>5552700GP</t>
  </si>
  <si>
    <t>Rullstol S3 kort abd. 4° 27 olackad</t>
  </si>
  <si>
    <t>5553000BLG</t>
  </si>
  <si>
    <t>Rullstol S3 kort abd. 4° 30 svart</t>
  </si>
  <si>
    <t>5553000GP</t>
  </si>
  <si>
    <t>Rullstol S3 kort abd. 4° 30 olackad</t>
  </si>
  <si>
    <t>5553300BLG</t>
  </si>
  <si>
    <t>Rullstol S3 kort abd. 4° 33 svart</t>
  </si>
  <si>
    <t>5553300GP</t>
  </si>
  <si>
    <t>Rullstol S3 kort abd. 4° 33 olackad</t>
  </si>
  <si>
    <t>5573300BLG</t>
  </si>
  <si>
    <t>Rullstol U3 Light 33 svart</t>
  </si>
  <si>
    <t>5573300G</t>
  </si>
  <si>
    <t>Rullstol U3 Light 33 vit</t>
  </si>
  <si>
    <t>5573300GP</t>
  </si>
  <si>
    <t>Rullstol U3 Light 33 olackerad</t>
  </si>
  <si>
    <t>5573600BLG</t>
  </si>
  <si>
    <t>Rullstol U3 Light 36 svart</t>
  </si>
  <si>
    <t>5573600G</t>
  </si>
  <si>
    <t>Rullstol U3 Light 36 vit</t>
  </si>
  <si>
    <t>5573600GP</t>
  </si>
  <si>
    <t>Rullstol U3 Light 36 olackerad</t>
  </si>
  <si>
    <t>5573900BLG</t>
  </si>
  <si>
    <t>Rullstol U3 Light 39 svart</t>
  </si>
  <si>
    <t>5573900G</t>
  </si>
  <si>
    <t>Rullstol U3 Light 39 vit</t>
  </si>
  <si>
    <t>5573900GP</t>
  </si>
  <si>
    <t>Rullstol U3 Light 39 olackerad</t>
  </si>
  <si>
    <t>5574200BLG</t>
  </si>
  <si>
    <t>Rullstol U3 Light 42 svart</t>
  </si>
  <si>
    <t>5574200G</t>
  </si>
  <si>
    <t>Rullstol U3 Light 42 vit</t>
  </si>
  <si>
    <t>5574200GP</t>
  </si>
  <si>
    <t>Rullstol U3 Light 42 olackerad</t>
  </si>
  <si>
    <t>5574500BLG</t>
  </si>
  <si>
    <t>Rullstol U3 Light 45 svart</t>
  </si>
  <si>
    <t>5574500G</t>
  </si>
  <si>
    <t>Rullstol U3 Light 45 vit</t>
  </si>
  <si>
    <t>5574500GP</t>
  </si>
  <si>
    <t>Rullstol U3 Light 45 olackerad</t>
  </si>
  <si>
    <t>5583300BLG</t>
  </si>
  <si>
    <t>Rullstol U3 Light/L 33 svart</t>
  </si>
  <si>
    <t>5583300G</t>
  </si>
  <si>
    <t>Rullstol U3 Light/L 33 vit</t>
  </si>
  <si>
    <t>5583300GP</t>
  </si>
  <si>
    <t>Rullstol U3 Light/L 33 olackerad</t>
  </si>
  <si>
    <t>5583600BLG</t>
  </si>
  <si>
    <t>Rullstol U3 Light/L 36 svart</t>
  </si>
  <si>
    <t>5583600G</t>
  </si>
  <si>
    <t>Rullstol U3 Light/L 36 vit</t>
  </si>
  <si>
    <t>5583600GP</t>
  </si>
  <si>
    <t>Rullstol U3 Light/L 36 olackerad</t>
  </si>
  <si>
    <t>5583900BLG</t>
  </si>
  <si>
    <t>Rullstol U3 Light/L 39 svart</t>
  </si>
  <si>
    <t>5583900G</t>
  </si>
  <si>
    <t>Rullstol U3 Light/L 39 vit</t>
  </si>
  <si>
    <t>5583900GP</t>
  </si>
  <si>
    <t>Rullstol U3 Light/L 39 olackerad</t>
  </si>
  <si>
    <t>5584200BLG</t>
  </si>
  <si>
    <t>Rullstol U3 Light/L 42 svart</t>
  </si>
  <si>
    <t>5584200G</t>
  </si>
  <si>
    <t>Rullstol U3 Light/L 42 vit</t>
  </si>
  <si>
    <t>5584200GP</t>
  </si>
  <si>
    <t>Rullstol U3 Light/L 42 olackerad</t>
  </si>
  <si>
    <t>5584500BLG</t>
  </si>
  <si>
    <t>Rullstol U3 Light/L 45 svart</t>
  </si>
  <si>
    <t>5584500G</t>
  </si>
  <si>
    <t>Rullstol U3 Light/L 45 vit</t>
  </si>
  <si>
    <t>5584500GP</t>
  </si>
  <si>
    <t>Rullstol U3 Light/L 45 olackerad</t>
  </si>
  <si>
    <t>Dyna anpassningsbar d15-20 b24 h2,5</t>
  </si>
  <si>
    <t>Dyna anpassningsbar d20-25 b24 h2,5</t>
  </si>
  <si>
    <t>Dyna anpassningsbar d25-35 b24 h2,5</t>
  </si>
  <si>
    <t>5722434C</t>
  </si>
  <si>
    <t>Överdrag dyna anp.bar25-35 b24 h2,5</t>
  </si>
  <si>
    <t>Dyna anpassningsbar d15-20 b27 h2,5</t>
  </si>
  <si>
    <t>Dyna anpassningsbar d20-25 b27 h2,5</t>
  </si>
  <si>
    <t>Dyna anpassningsbar d25-35 b27 h2,5</t>
  </si>
  <si>
    <t>Dyna anpassningsbar d25-35 b30 h2,5</t>
  </si>
  <si>
    <t>Dyna anpassningsbar d25-35 b33 h2,5</t>
  </si>
  <si>
    <t>Dyna S3 33 br 2,5 cm kort</t>
  </si>
  <si>
    <t>5723335C</t>
  </si>
  <si>
    <t>Dyna S3 33 br 2,5 cm kort överdrag</t>
  </si>
  <si>
    <t>Dyna S3 33 br 2,5 cm std</t>
  </si>
  <si>
    <t>5723340C</t>
  </si>
  <si>
    <t>Dyna S3 33 br 2,5 cm std överdrag</t>
  </si>
  <si>
    <t>Dyna S3 36 br 2,5 cm kort</t>
  </si>
  <si>
    <t>5723635C</t>
  </si>
  <si>
    <t>Dyna S3 36 br 2,5 cm kort överdrag</t>
  </si>
  <si>
    <t>Dyna S3 36 br 2,5 cm std</t>
  </si>
  <si>
    <t>5723640C</t>
  </si>
  <si>
    <t>Dyna S3 36 br 2,5 cm std överdrag</t>
  </si>
  <si>
    <t>Dyna S3 39 br 2,5 cm kort</t>
  </si>
  <si>
    <t>5723935C</t>
  </si>
  <si>
    <t>Dyna S3 39 br 2,5 cm kort överdrag</t>
  </si>
  <si>
    <t>Dyna S3 39 br 2,5 cm std</t>
  </si>
  <si>
    <t>5723940C</t>
  </si>
  <si>
    <t>Dyna S3 39 br 2,5 cm std överdrag</t>
  </si>
  <si>
    <t>Dyna S3 42 br 2,5 cm kort</t>
  </si>
  <si>
    <t>5724235C</t>
  </si>
  <si>
    <t>Dyna S3 42 br 2,5 cm kort överdrag</t>
  </si>
  <si>
    <t>Dyna S3 42 br 2,5 cm std</t>
  </si>
  <si>
    <t>5724240C</t>
  </si>
  <si>
    <t>Dyna S3 42 br 2,5 cm std överdrag</t>
  </si>
  <si>
    <t>Dyna S3 45 br 2,5 cm kort</t>
  </si>
  <si>
    <t>5724535C</t>
  </si>
  <si>
    <t>Dyna S3 45 br 2,5 cm kort överdrag</t>
  </si>
  <si>
    <t>Dyna S3 45 br 2,5 cm std</t>
  </si>
  <si>
    <t>5724540C</t>
  </si>
  <si>
    <t>Dyna S3 45 br 2,5 cm std överdrag</t>
  </si>
  <si>
    <t>Dyna S3 48 br 2,5 cm std</t>
  </si>
  <si>
    <t>5724840C</t>
  </si>
  <si>
    <t>Dyna S3 48 br 2,5 cm std överdrag</t>
  </si>
  <si>
    <t>5725035C</t>
  </si>
  <si>
    <t>Dyna S3 50 br 2,5 cm kort Överdrag</t>
  </si>
  <si>
    <t>Dyna S3 50 br 2,5 cm std</t>
  </si>
  <si>
    <t>5725040C</t>
  </si>
  <si>
    <t>Dyna S3 50 br 2,5 cm std överdrag</t>
  </si>
  <si>
    <t>Dyna anpassningsbar d15-20 b24 h5</t>
  </si>
  <si>
    <t>Dyna anpassningsbar d20-25 b24 h5</t>
  </si>
  <si>
    <t>Dyna anpassningsbar d25-35 b24 h5,0</t>
  </si>
  <si>
    <t>5752434C</t>
  </si>
  <si>
    <t>Överdrag dyna anp.bar25-35 b24 h5,0</t>
  </si>
  <si>
    <t>Dyna anpassningsbar d15-20 b27 h5</t>
  </si>
  <si>
    <t>Dyna anpassningsbar d20-25 b27 h5</t>
  </si>
  <si>
    <t>Dyna anpassningsbar d25-35 b27 h5</t>
  </si>
  <si>
    <t>Dyna anpassningsbar d25-35 b30 h5</t>
  </si>
  <si>
    <t>Dyna anpassningsbar d25-35 b33 h5</t>
  </si>
  <si>
    <t>Dyna S3 33 br 5 cm kort</t>
  </si>
  <si>
    <t>5753335C</t>
  </si>
  <si>
    <t>Dyna S3 33 br 5 cm kort överdrag</t>
  </si>
  <si>
    <t>Dyna S3 33 br 5 cm std</t>
  </si>
  <si>
    <t>5753340C</t>
  </si>
  <si>
    <t>Dyna S3 33 br 5 cm std överdrag</t>
  </si>
  <si>
    <t>Dyna S3 36 br 5 cm kort</t>
  </si>
  <si>
    <t>5753635C</t>
  </si>
  <si>
    <t>Dyna S3 36 br 5 cm kort överdrag</t>
  </si>
  <si>
    <t>Dyna S3 36 br 5 cm std</t>
  </si>
  <si>
    <t>5753640C</t>
  </si>
  <si>
    <t>Dyna S3 36 br 5 cm std överdrag</t>
  </si>
  <si>
    <t>Dyna S3 39 br 5 cm kort</t>
  </si>
  <si>
    <t>5753935C</t>
  </si>
  <si>
    <t>Dyna S3 39 br 5 cm kort överdrag</t>
  </si>
  <si>
    <t>Dyna S3 39 br 5 cm std</t>
  </si>
  <si>
    <t>5753940C</t>
  </si>
  <si>
    <t>Dyna S3 39 br 5 cm std överdrag</t>
  </si>
  <si>
    <t>Dyna S3 39 br 5 cm large</t>
  </si>
  <si>
    <t>5753945C</t>
  </si>
  <si>
    <t>Dyna S3 39 br 5 cm large överdrag</t>
  </si>
  <si>
    <t>Dyna S3 42 br 5 cm kort</t>
  </si>
  <si>
    <t>5754235C</t>
  </si>
  <si>
    <t>Dyna S3 42 br 5 cm kort överdrag</t>
  </si>
  <si>
    <t>Dyna S3 42 br 5 cm std</t>
  </si>
  <si>
    <t>5754240C</t>
  </si>
  <si>
    <t>Dyna S3 42 br 5 cm std överdrag</t>
  </si>
  <si>
    <t>Dyna S3 42 br 5 cm large</t>
  </si>
  <si>
    <t>5754245C</t>
  </si>
  <si>
    <t>Dyna S3 42 br 5 cm large överdrag</t>
  </si>
  <si>
    <t>Dyna S3 45 br 5 cm kort</t>
  </si>
  <si>
    <t>5754535C</t>
  </si>
  <si>
    <t>Dyna S3 45 br 5 cm kort överdrag</t>
  </si>
  <si>
    <t>Dyna S3 45 br 5 cm std</t>
  </si>
  <si>
    <t>5754540C</t>
  </si>
  <si>
    <t>Dyna S3 45 br 5 cm std överdrag</t>
  </si>
  <si>
    <t>Dyna S3 45 br 5 cm large</t>
  </si>
  <si>
    <t>5754545C</t>
  </si>
  <si>
    <t>Dyna S3 45 br 5 cm large överdrag</t>
  </si>
  <si>
    <t>Dyna S3 48 br 5 cm std</t>
  </si>
  <si>
    <t>5754840C</t>
  </si>
  <si>
    <t>Dyna S3 48 br 5 cm large</t>
  </si>
  <si>
    <t>5754845C</t>
  </si>
  <si>
    <t>Dyna S3 48 br 5 cm large överdrag</t>
  </si>
  <si>
    <t>Dyna S3 50 br 5 cm std</t>
  </si>
  <si>
    <t>5755040C</t>
  </si>
  <si>
    <t>Dyna S3 50 br 5 cm std överdrag</t>
  </si>
  <si>
    <t>Dyna S3 50 br 5 cm large</t>
  </si>
  <si>
    <t>5755045C</t>
  </si>
  <si>
    <t>Dyna S3 50 br 5 cm large överdrag</t>
  </si>
  <si>
    <t>Inko.överdrag dyna preTech sb 33/36</t>
  </si>
  <si>
    <t>Inko.överdrag dyna preTech sb 39/42</t>
  </si>
  <si>
    <t>Inko.överdrag dyna preTech sb 45</t>
  </si>
  <si>
    <t>Kildyna br 27</t>
  </si>
  <si>
    <t>Kildyna br 30</t>
  </si>
  <si>
    <t>Kildyna br 33</t>
  </si>
  <si>
    <t>Kildyna br 36</t>
  </si>
  <si>
    <t>Kildyna br 39</t>
  </si>
  <si>
    <t>Kildyna br 42</t>
  </si>
  <si>
    <t>Kildyna br 45</t>
  </si>
  <si>
    <t>Kildyna br 50</t>
  </si>
  <si>
    <t>Dyna preTech 33*35/40</t>
  </si>
  <si>
    <t>5773335C</t>
  </si>
  <si>
    <t>Överdrag dyna preTech 33*35/40</t>
  </si>
  <si>
    <t>5773335F</t>
  </si>
  <si>
    <t>Skumpaket dyna preTech 33*35/40</t>
  </si>
  <si>
    <t>Dyna preTech 33*40/45</t>
  </si>
  <si>
    <t>5773340C</t>
  </si>
  <si>
    <t>Överdrag dyna preTech 33*40/45</t>
  </si>
  <si>
    <t>5773340F</t>
  </si>
  <si>
    <t>Skumpaket dyna preTech 33*40/45</t>
  </si>
  <si>
    <t>Dyna preTech 36*35/40</t>
  </si>
  <si>
    <t>5773635C</t>
  </si>
  <si>
    <t>Överdrag dyna preTech 36*35/40</t>
  </si>
  <si>
    <t>5773635F</t>
  </si>
  <si>
    <t>Skumpaket dyna preTech 36*35/40</t>
  </si>
  <si>
    <t>Dyna preTech 36*40/45</t>
  </si>
  <si>
    <t>5773640C</t>
  </si>
  <si>
    <t>Överdrag dyna preTech 36*40/45</t>
  </si>
  <si>
    <t>5773640F</t>
  </si>
  <si>
    <t>Skumpaket dyna preTech 36*40/45</t>
  </si>
  <si>
    <t>Dyna preTech 39*35/40</t>
  </si>
  <si>
    <t>5773935C</t>
  </si>
  <si>
    <t>Överdrag dyna preTech 39*35/40</t>
  </si>
  <si>
    <t>5773935F</t>
  </si>
  <si>
    <t>Skumpaket dyna preTech 39*35/40</t>
  </si>
  <si>
    <t>Dyna preTech 39*40/45</t>
  </si>
  <si>
    <t>5773940C</t>
  </si>
  <si>
    <t>Överdrag dyna preTech 39*40/45</t>
  </si>
  <si>
    <t>5773940F</t>
  </si>
  <si>
    <t>Skumpaket dyna preTech 39*40/45</t>
  </si>
  <si>
    <t>Dyna preTech 42*35/40</t>
  </si>
  <si>
    <t>5774235C</t>
  </si>
  <si>
    <t>Överdrag dyna preTech 42*35/40</t>
  </si>
  <si>
    <t>5774235F</t>
  </si>
  <si>
    <t>Skumpaket dyna preTech 42*35/40</t>
  </si>
  <si>
    <t>Dyna preTech 42*40/45</t>
  </si>
  <si>
    <t>5774240C</t>
  </si>
  <si>
    <t>Överdrag dyna preTech 42*40/45</t>
  </si>
  <si>
    <t>5774240F</t>
  </si>
  <si>
    <t>Skumpaket dyna preTech 42*40/45</t>
  </si>
  <si>
    <t>Dyna preTech 45*35/40</t>
  </si>
  <si>
    <t>5774535C</t>
  </si>
  <si>
    <t>5774535F</t>
  </si>
  <si>
    <t>Skumpaket dyna preTech 45*35/40</t>
  </si>
  <si>
    <t>Dyna preTech 45*40/45</t>
  </si>
  <si>
    <t>5774540C</t>
  </si>
  <si>
    <t>Överdrag dyna preTech 45*40/45</t>
  </si>
  <si>
    <t>5774540F</t>
  </si>
  <si>
    <t>Skumpaket dyna preTech 45*40/45</t>
  </si>
  <si>
    <t>5801033GP</t>
  </si>
  <si>
    <t>Rullstol U3 Y-front 33 olackad</t>
  </si>
  <si>
    <t>5801036GP</t>
  </si>
  <si>
    <t>Rullstol U3 Y-front 36 olackad</t>
  </si>
  <si>
    <t>5801039GP</t>
  </si>
  <si>
    <t>Rullstol U3 Y-front 39 olackad</t>
  </si>
  <si>
    <t>5801042GP</t>
  </si>
  <si>
    <t>Rullstol U3 Y-front 42 olackad</t>
  </si>
  <si>
    <t>5801045GP</t>
  </si>
  <si>
    <t>Rullstol U3 Y-front 45 olackad</t>
  </si>
  <si>
    <t>5801050GP</t>
  </si>
  <si>
    <t>Rullstol U3 Y-front 50 olackad</t>
  </si>
  <si>
    <t>5802030GP</t>
  </si>
  <si>
    <t>Rullstol U3 Kort Y-front 30 olackad</t>
  </si>
  <si>
    <t>5802033GP</t>
  </si>
  <si>
    <t>Rullstol U3 Kort Y-front 33 olackad</t>
  </si>
  <si>
    <t>5802036GP</t>
  </si>
  <si>
    <t>Rullstol U3 Kort Y-front 36 olackad</t>
  </si>
  <si>
    <t>5802039GP</t>
  </si>
  <si>
    <t>Rullstol U3 Kort Y-front 39 olackad</t>
  </si>
  <si>
    <t>5802042GP</t>
  </si>
  <si>
    <t>Rullstol U3 Kort Y-front 42 olackad</t>
  </si>
  <si>
    <t>5802045GP</t>
  </si>
  <si>
    <t>Rullstol U3 Kort Y-front 45 olackad</t>
  </si>
  <si>
    <t>5802050GP</t>
  </si>
  <si>
    <t>Rullstol U3 Kort Y-front 50 olackad</t>
  </si>
  <si>
    <t>5803033GP</t>
  </si>
  <si>
    <t>Rullstol U3 Light Y-front 33 olack</t>
  </si>
  <si>
    <t>5803036GP</t>
  </si>
  <si>
    <t>Rullstol U3 Light Y-front 36 olack</t>
  </si>
  <si>
    <t>5803039GP</t>
  </si>
  <si>
    <t>Rullstol U3 Light Y-front 39 olack</t>
  </si>
  <si>
    <t>5803042GP</t>
  </si>
  <si>
    <t>Rullstol U3 Light Y-front 42 olack</t>
  </si>
  <si>
    <t>5803045GP</t>
  </si>
  <si>
    <t>Rullstol U3 Light Y-front 45 olack</t>
  </si>
  <si>
    <t>5805033GP</t>
  </si>
  <si>
    <t>Rullstol U3 Light/L Yfront 33 olack</t>
  </si>
  <si>
    <t>5805036GP</t>
  </si>
  <si>
    <t>Rullstol U3 Light/L Yfront 36 olack</t>
  </si>
  <si>
    <t>5805039GP</t>
  </si>
  <si>
    <t>Rullstol U3 Light/L Yfront 39 olack</t>
  </si>
  <si>
    <t>5805042GP</t>
  </si>
  <si>
    <t>Rullstol U3 Light/L Yfront 42 olack</t>
  </si>
  <si>
    <t>5805045GP</t>
  </si>
  <si>
    <t>Rullstol U3 Light/L Yfront 45 olack</t>
  </si>
  <si>
    <t>5806033GP</t>
  </si>
  <si>
    <t>Rullstol U3 Light Yfront90°33 olack</t>
  </si>
  <si>
    <t>5806036GP</t>
  </si>
  <si>
    <t>Rullstol U3 Light Yfront90°36 olack</t>
  </si>
  <si>
    <t>5806039GP</t>
  </si>
  <si>
    <t>Rullstol U3 Light Yfront90°39 olack</t>
  </si>
  <si>
    <t>5806042GP</t>
  </si>
  <si>
    <t>Rullstol U3 Light Yfront90°42 olack</t>
  </si>
  <si>
    <t>5806045GP</t>
  </si>
  <si>
    <t>Rullstol U3 Light Yfront90°45 olack</t>
  </si>
  <si>
    <t>5808133GP</t>
  </si>
  <si>
    <t>Rullstol U3 Light Y-front hög 4˚ 33</t>
  </si>
  <si>
    <t>5808136GP</t>
  </si>
  <si>
    <t>Rullstol U3 Light Y-front hög 4˚ 36</t>
  </si>
  <si>
    <t>5808139GP</t>
  </si>
  <si>
    <t>Rullstol U3 Light Y-front hög 4˚ 39</t>
  </si>
  <si>
    <t>5808142GP</t>
  </si>
  <si>
    <t>Rullstol U3 Light Y-front hög 4˚ 42</t>
  </si>
  <si>
    <t>5808145GP</t>
  </si>
  <si>
    <t>Rullstol U3 Light Y-front hög 4˚ 45</t>
  </si>
  <si>
    <t>5809133GP</t>
  </si>
  <si>
    <t>Rullstol U3 Light Y-front låg 33</t>
  </si>
  <si>
    <t>5809136GP</t>
  </si>
  <si>
    <t>Rullstol U3 Light Y-front låg 36</t>
  </si>
  <si>
    <t>5809139GP</t>
  </si>
  <si>
    <t>Rullstol U3 Light Y-front låg 39</t>
  </si>
  <si>
    <t>5809142GP</t>
  </si>
  <si>
    <t>Rullstol U3 Light Y-front låg 42</t>
  </si>
  <si>
    <t>5809145GP</t>
  </si>
  <si>
    <t>Rullstol U3 Light Y-front låg 45</t>
  </si>
  <si>
    <t>5817033G</t>
  </si>
  <si>
    <t>Rullstol S3 Swing förl.+25 33 Svart</t>
  </si>
  <si>
    <t>5817033GP</t>
  </si>
  <si>
    <t>Rullstol S3 Swing förl.+25 33 olack</t>
  </si>
  <si>
    <t>Chassi S3 Swing förl.+25 45 olackat</t>
  </si>
  <si>
    <t>5818036BLG</t>
  </si>
  <si>
    <t>Rullstol S3 Swing Lång 36 svart</t>
  </si>
  <si>
    <t>5818039BLG</t>
  </si>
  <si>
    <t>Rullstol S3 Swing Lång 39 svart</t>
  </si>
  <si>
    <t>5818042BLG</t>
  </si>
  <si>
    <t>Rullstol S3 Swing Lång 42 svart</t>
  </si>
  <si>
    <t>5818042G</t>
  </si>
  <si>
    <t>Rullstol S3 Swing FL42 förstärkt</t>
  </si>
  <si>
    <t>5818045BLG</t>
  </si>
  <si>
    <t>Rullstol S3 Swing Lång 45 svart</t>
  </si>
  <si>
    <t>5818050BLG</t>
  </si>
  <si>
    <t>Rullstol S3 Swing Lång 50 svart</t>
  </si>
  <si>
    <t>5818136G</t>
  </si>
  <si>
    <t>5818136GP</t>
  </si>
  <si>
    <t>Rullstol S3 Swing Lång 36 olackad</t>
  </si>
  <si>
    <t>5818139G</t>
  </si>
  <si>
    <t>5818139GP</t>
  </si>
  <si>
    <t>Rullstol S3 Swing Lång 39 olackad</t>
  </si>
  <si>
    <t>5818142G</t>
  </si>
  <si>
    <t>5818142GP</t>
  </si>
  <si>
    <t>Rullstol S3 Swing Lång 42 olackad</t>
  </si>
  <si>
    <t>5818145G</t>
  </si>
  <si>
    <t>5818145GP</t>
  </si>
  <si>
    <t>Rullstol S3 Swing Lång 45 olackad</t>
  </si>
  <si>
    <t>5818150G</t>
  </si>
  <si>
    <t>5818150GP</t>
  </si>
  <si>
    <t>Rullstol S3 Swing Lång 50 olackad</t>
  </si>
  <si>
    <t>5831033GP</t>
  </si>
  <si>
    <t>Rullstol S3 0° 33 olackad</t>
  </si>
  <si>
    <t>5831036GP</t>
  </si>
  <si>
    <t>Rullstol S3 0° 36 olackad</t>
  </si>
  <si>
    <t>5831039GP</t>
  </si>
  <si>
    <t>Rullstol S3 0° 39 olackad</t>
  </si>
  <si>
    <t>5831042GP</t>
  </si>
  <si>
    <t>Rullstol S3 0° 42 olackad</t>
  </si>
  <si>
    <t>5831045GP</t>
  </si>
  <si>
    <t>Rullstol S3 0° 45 olackad</t>
  </si>
  <si>
    <t>5831050GP</t>
  </si>
  <si>
    <t>Rullstol S3 0° 50 olackad</t>
  </si>
  <si>
    <t>5831233GP</t>
  </si>
  <si>
    <t>Rullstol S3 Lång 33 olackad</t>
  </si>
  <si>
    <t>5831236GP</t>
  </si>
  <si>
    <t>Rullstol S3 Lång 36 olackad</t>
  </si>
  <si>
    <t>5831239GP</t>
  </si>
  <si>
    <t>Rullstol S3 Lång 39 olackad</t>
  </si>
  <si>
    <t>5831242GP</t>
  </si>
  <si>
    <t>Rullstol S3 Lång 42 olackad</t>
  </si>
  <si>
    <t>5831245GP</t>
  </si>
  <si>
    <t>Rullstol S3 Lång 45 olackad</t>
  </si>
  <si>
    <t>5831250GP</t>
  </si>
  <si>
    <t>Rullstol S3 Lång 50 olackad</t>
  </si>
  <si>
    <t>5837036BLG</t>
  </si>
  <si>
    <t>Rullstol S3 Swing låg 0° 36 svart</t>
  </si>
  <si>
    <t>5837036G</t>
  </si>
  <si>
    <t>5837036GP</t>
  </si>
  <si>
    <t>Rullstol S3 Swing låg 0° 36 olack</t>
  </si>
  <si>
    <t>5837039BLG</t>
  </si>
  <si>
    <t>Rullstol S3 Swing låg 0° 39 svart</t>
  </si>
  <si>
    <t>5837039GP</t>
  </si>
  <si>
    <t>Rullstol S3 Swing låg 0° 39 olack</t>
  </si>
  <si>
    <t>5837042BLG</t>
  </si>
  <si>
    <t>Rullstol S3 Swing låg 0° 42 svart</t>
  </si>
  <si>
    <t>5837042G</t>
  </si>
  <si>
    <t>5837042GP</t>
  </si>
  <si>
    <t>Rullstol S3 Swing låg 0° 42 olack</t>
  </si>
  <si>
    <t>5837045BLG</t>
  </si>
  <si>
    <t>Rullstol S3 Swing låg 0° 45 svart</t>
  </si>
  <si>
    <t>5837045G</t>
  </si>
  <si>
    <t>5837045GP</t>
  </si>
  <si>
    <t>Rullstol S3 Swing låg 0° 45 olack</t>
  </si>
  <si>
    <t>5837050BLG</t>
  </si>
  <si>
    <t>Rullstol S3 Swing låg 0° 50 svart</t>
  </si>
  <si>
    <t>5837050G</t>
  </si>
  <si>
    <t>5837050GP</t>
  </si>
  <si>
    <t>Rullstol S3 Swing låg 0° 50 olack</t>
  </si>
  <si>
    <t>5841133GP</t>
  </si>
  <si>
    <t>Rullstol U3 Y-front låg 33 olackad</t>
  </si>
  <si>
    <t>5841136GP</t>
  </si>
  <si>
    <t>Rullstol U3 Y-front låg 36 olackad</t>
  </si>
  <si>
    <t>5841139GP</t>
  </si>
  <si>
    <t>Rullstol U3 Y-front låg 39 olackad</t>
  </si>
  <si>
    <t>5841142GP</t>
  </si>
  <si>
    <t>Rullstol U3 Y-front låg 42 olackad</t>
  </si>
  <si>
    <t>5841145GP</t>
  </si>
  <si>
    <t>Rullstol U3 Y-front låg 45 olackad</t>
  </si>
  <si>
    <t>5841150GP</t>
  </si>
  <si>
    <t>Rullstol U3 Y-front låg 50 olackad</t>
  </si>
  <si>
    <t>Skruv KTS 8.8 TORX M5x12 fzb</t>
  </si>
  <si>
    <t>Skruv KTS TORX M5x12 Alu7075 svart</t>
  </si>
  <si>
    <t>Bult MLC6S M4x25 FZSV DL2040</t>
  </si>
  <si>
    <t>Bult MC6S 8.8 DIN 912 M5x12 FZSV</t>
  </si>
  <si>
    <t>Bult MC6S M5x16 FZSV DL2040</t>
  </si>
  <si>
    <t>6002517B</t>
  </si>
  <si>
    <t>Bult MC6S M5x16 FZSV</t>
  </si>
  <si>
    <t>Bult MLC6S M5x30 fzb</t>
  </si>
  <si>
    <t>Bult MC6S 8.8 M5x30  FZSV</t>
  </si>
  <si>
    <t>Bult MC6S M5x35 FZSV</t>
  </si>
  <si>
    <t>Bult MC6S 8.8 M5x40  FZsvart</t>
  </si>
  <si>
    <t>Bult MC6S 8.8 M5x50 FZsvart</t>
  </si>
  <si>
    <t>Bult MC6S 8.8 M5x60  FZsvart</t>
  </si>
  <si>
    <t>Bult MC6S 8.8 M5x6  FZsvart</t>
  </si>
  <si>
    <t>Bult MC6S 8.8 M5x70 FZsvart</t>
  </si>
  <si>
    <t>Bult MC6S 8.8 M5x80 FZsvart</t>
  </si>
  <si>
    <t>Bult MC6S 8.8 M5x90  FZsvart</t>
  </si>
  <si>
    <t>Bult MC6S 8.8 M5x100 FZsvart</t>
  </si>
  <si>
    <t>Bult MC6S 8.8 M5x110 FZsvart</t>
  </si>
  <si>
    <t>Bult MLC6S M6x12 fzb</t>
  </si>
  <si>
    <t>Bult MLC6S M6x16 FZSV</t>
  </si>
  <si>
    <t>Bult MLC6S M6x18 FZSV</t>
  </si>
  <si>
    <t>Bult MLC6S 88 M6x20 fzb</t>
  </si>
  <si>
    <t xml:space="preserve">Bult MC6S M6x20 12.9 FZSV dri loc </t>
  </si>
  <si>
    <t>6002622B</t>
  </si>
  <si>
    <t>Bult MC6S M6x22 FZSV</t>
  </si>
  <si>
    <t>Bult MC6S 88 M6x25 FZSV</t>
  </si>
  <si>
    <t>Bult MLC6S M6x45 RF svart förn.</t>
  </si>
  <si>
    <t>Bult MC6S 12,9 DIN 912 M6x18 fzsv</t>
  </si>
  <si>
    <t>Bult MLC6S M6x55/8 ALU</t>
  </si>
  <si>
    <t>Bult MLC6S M8x12 fzb</t>
  </si>
  <si>
    <t>Bult MLC6S M8x30 ALU Svart</t>
  </si>
  <si>
    <t>Bult MLC6S M8x35 ALU Svart</t>
  </si>
  <si>
    <t>Bult MLC6S M10x32 Alu svart</t>
  </si>
  <si>
    <t>6003409DL</t>
  </si>
  <si>
    <t>Bult KTS 8.8 TORX M4x8 FZSV DL2040</t>
  </si>
  <si>
    <t>Bult K6S 10.9 M5x8 FZSV</t>
  </si>
  <si>
    <t>Bult K6S M5x9 alu svart</t>
  </si>
  <si>
    <t>Bult K6S M5 / 6mm x 23 FZSV svart</t>
  </si>
  <si>
    <t>Bult K6S 10.9 M5x25 FZSV</t>
  </si>
  <si>
    <t>Bult K6S 8.8 M5x28 svart</t>
  </si>
  <si>
    <t>Skruv K6S M5x30 FZSV</t>
  </si>
  <si>
    <t>Bult K6S M6x22 fzb</t>
  </si>
  <si>
    <t>Bult MELC6S M5X20  FZSV</t>
  </si>
  <si>
    <t>Bult MELC6S M5X25  FZSV</t>
  </si>
  <si>
    <t>Bult MELC6S M6X10 FZSV</t>
  </si>
  <si>
    <t>Bult MELC6S M6X12 FZSV</t>
  </si>
  <si>
    <t>Bult MELC6S M6X20 FZSV</t>
  </si>
  <si>
    <t>Bult MELC6S M6X35 FZSV DR Plast</t>
  </si>
  <si>
    <t>Bult MELC6S M6X40 FZSV</t>
  </si>
  <si>
    <t>6004813T</t>
  </si>
  <si>
    <t>Skruv 4,2x13 Torx FZSV</t>
  </si>
  <si>
    <t>6004816T</t>
  </si>
  <si>
    <t>Skruv 4,2x16 Torx FZSV</t>
  </si>
  <si>
    <t>Skruv PT 10.9 WN1452 Torx 3x6 FZSV</t>
  </si>
  <si>
    <t>Skruv MRX 48 M5 x 40 fzb</t>
  </si>
  <si>
    <t>Skruv RXS ST3,5x9,5 Din 7504</t>
  </si>
  <si>
    <t>Stoppskruv SK6SS M5x5 A2</t>
  </si>
  <si>
    <t>Bult MF6S M4x16 försänkt insex FZSV</t>
  </si>
  <si>
    <t>Bult MF6S M5x14  FZSV DL 2040</t>
  </si>
  <si>
    <t>Bult MF6S M5x20 10.9 försänkt insex</t>
  </si>
  <si>
    <t>Bult MF6S M5x25  FZSV Drilock</t>
  </si>
  <si>
    <t>Bult MF6SM5x30 Förs insex FZSV DL</t>
  </si>
  <si>
    <t>Bult MF6S M5x35 Försänkt insex FZSV</t>
  </si>
  <si>
    <t>Bult MF6S M6x18 Försänkt insex fzb</t>
  </si>
  <si>
    <t>6007618DL</t>
  </si>
  <si>
    <t>Bult MF6S M6x18 Förs. insex DL2040</t>
  </si>
  <si>
    <t>Bult MF6S M6x25 Försänkt insex FZSV</t>
  </si>
  <si>
    <t>Mutterstycke</t>
  </si>
  <si>
    <t>Mutterstycke förlängd 7 mm</t>
  </si>
  <si>
    <t xml:space="preserve">Fotplatta S3 carbon br 27 kpl </t>
  </si>
  <si>
    <t xml:space="preserve">Fotplatta S3 carbon br 30 kpl </t>
  </si>
  <si>
    <t xml:space="preserve">Fotplatta S3 carbon br 33 kpl </t>
  </si>
  <si>
    <t xml:space="preserve">Fotplatta S3 carbon br 36 kpl </t>
  </si>
  <si>
    <t xml:space="preserve">Fotplatta S3 carbon br 39 kpl </t>
  </si>
  <si>
    <t xml:space="preserve">Fotplatta S3 carbon br 42 kpl </t>
  </si>
  <si>
    <t xml:space="preserve">Fotplatta U3 carbon br 33 kpl </t>
  </si>
  <si>
    <t xml:space="preserve">Fotplatta U3 carbon br 36 kpl </t>
  </si>
  <si>
    <t xml:space="preserve">Fotplatta U3 carbon br 39 kpl </t>
  </si>
  <si>
    <t xml:space="preserve">Fotplatta U3 carbon br 42 kpl </t>
  </si>
  <si>
    <t xml:space="preserve">Fotplatta U3 carbon br 45 kpl </t>
  </si>
  <si>
    <t>Fotplatta X carbon br 33 kpl</t>
  </si>
  <si>
    <t>Fotplatta X carbon br 36 kpl</t>
  </si>
  <si>
    <t>Fotplatta X carbon br 39 kpl</t>
  </si>
  <si>
    <t>Fotplatta X carbon br 42 kpl</t>
  </si>
  <si>
    <t>Fotplatta X carbon br 45 kpl</t>
  </si>
  <si>
    <t>Bussning fällfot</t>
  </si>
  <si>
    <t>Fjäder fällfot</t>
  </si>
  <si>
    <t>Fjädrande rörpinne 3x20 rostfri</t>
  </si>
  <si>
    <t>Pinne hälband</t>
  </si>
  <si>
    <t>Fotplattor fällbar NY 33/36</t>
  </si>
  <si>
    <t>Fotplatta fällbar NY 33/36 kpl VÄ</t>
  </si>
  <si>
    <t>Fotplatta fällbar NY 33/36 kpl HÖ</t>
  </si>
  <si>
    <t>Fotplattor fällbar NY 39/42 PAR</t>
  </si>
  <si>
    <t>Fotplatta fällbar NY 39/42 kpl VÄ</t>
  </si>
  <si>
    <t>Fotplatta fällbar NY 39/42 kpl HÖ</t>
  </si>
  <si>
    <t>Fotplattor fällbar NY 45 kpl par</t>
  </si>
  <si>
    <t>Fotplatta fällbar NY 45 kpl VÄ</t>
  </si>
  <si>
    <t>Fotplatta fällbar NY 45 kpl höger</t>
  </si>
  <si>
    <t>Fotplattor fällbar NY 50 kpl par</t>
  </si>
  <si>
    <t>Platta NY 33/36 vänster</t>
  </si>
  <si>
    <t>Platta NY 33/36 höger</t>
  </si>
  <si>
    <t>Platta Stor 33/36 vänster</t>
  </si>
  <si>
    <t>Platta Stor 33/36 höger</t>
  </si>
  <si>
    <t>Platta NY 39/42 vänster</t>
  </si>
  <si>
    <t>Platta NY 39/42 höger</t>
  </si>
  <si>
    <t>Platta Stor 39/42 vänster</t>
  </si>
  <si>
    <t>Platta Stor 39/42 höger</t>
  </si>
  <si>
    <t>Platta NY 45 vänster</t>
  </si>
  <si>
    <t>Platta NY 45 höger</t>
  </si>
  <si>
    <t>Platta Stor 45/50 vänster</t>
  </si>
  <si>
    <t>Platta Stor 45/50 höger</t>
  </si>
  <si>
    <t>Platta NY 50 vänster</t>
  </si>
  <si>
    <t>Platta NY 50 höger</t>
  </si>
  <si>
    <t>Fotplattor fällbar förlängd NY</t>
  </si>
  <si>
    <t>Fotplatta fällbar förlängd NY 33/36</t>
  </si>
  <si>
    <t>Fotplattor fällbar förlängdNY 39/42</t>
  </si>
  <si>
    <t>Fotplatta fällbar förlängd NY 39/42</t>
  </si>
  <si>
    <t>Fotplattor fällbar förlängd NY 45</t>
  </si>
  <si>
    <t>Fotplatta fällbar förlängd NY 45</t>
  </si>
  <si>
    <t>Fotplattor fällbar förlängd NY 50</t>
  </si>
  <si>
    <t>Fotplatta fällbar förlängd NY 50</t>
  </si>
  <si>
    <t>Fotplattor fällbar Stor 33/36 par</t>
  </si>
  <si>
    <t>Fotplatta fällbar Stor 33/36 kpl vä</t>
  </si>
  <si>
    <t>Fotplatta fällbar Stor 33/36 kpl hö</t>
  </si>
  <si>
    <t>Fotplattor fällbar Stor 39/42 par</t>
  </si>
  <si>
    <t>Fotplatta fällbar Stor 39/42 kpl vä</t>
  </si>
  <si>
    <t>Fotplatta fällbar Stor 39/42 kpl hö</t>
  </si>
  <si>
    <t>Fotplattor fällbar Stor 45/50 par</t>
  </si>
  <si>
    <t>Fotplatta fällbar Stor 45/50 kpl vä</t>
  </si>
  <si>
    <t>Fotplatta fällbar Stor 45/50 kpl hö</t>
  </si>
  <si>
    <t>Fotplatta fällb.förl Stor 33/36 par</t>
  </si>
  <si>
    <t>Fotplatta fällb. förl Stor 33/36 vä</t>
  </si>
  <si>
    <t>Fotplatta fällb. förl Stor 33/36 hö</t>
  </si>
  <si>
    <t>Fotplatta fällb förl Stor 39/42 par</t>
  </si>
  <si>
    <t>Fotplatta fällb. förl Stor 39/42 vä</t>
  </si>
  <si>
    <t>Fotplatta fällb. förl Stor 39/42 hö</t>
  </si>
  <si>
    <t>Fotplatta fällb.förl Stor 45/50 par</t>
  </si>
  <si>
    <t>Fotplatta fällb. förl Stor 45/50 vä</t>
  </si>
  <si>
    <t>Fotplatta fällb. förl Stor 45/50 hö</t>
  </si>
  <si>
    <t>Amputationsbenstöd kpl par</t>
  </si>
  <si>
    <t>Amputationsbenstöd kpl. höger</t>
  </si>
  <si>
    <t>Amputationsbenstöd kpl. vänster</t>
  </si>
  <si>
    <t>Dyna amputationsbenstöd</t>
  </si>
  <si>
    <t>Fästplåt m rör amp.benstöd Vä</t>
  </si>
  <si>
    <t>Fästplåt m rör amp.benstöd Hö</t>
  </si>
  <si>
    <t>Fäste amputationsbenstöd kpl hö</t>
  </si>
  <si>
    <t>Fäste amputationsbenstöd kpl vä</t>
  </si>
  <si>
    <t>Bålstöd S3 kpl vänst utan mont.sats</t>
  </si>
  <si>
    <t>Bålstöd S3 kpl höger utan mont.sats</t>
  </si>
  <si>
    <t>Monteringssats styck bålstöd S3 hög</t>
  </si>
  <si>
    <t>Monteringssats styck bålstöd S3 vän</t>
  </si>
  <si>
    <t>Bålstöd S3 kpl par med m.sats VER2</t>
  </si>
  <si>
    <t>Bålstöd S3 kpl vä m.montsats VER2</t>
  </si>
  <si>
    <t>Bålstöd S3 kpl hö m montsats VER2</t>
  </si>
  <si>
    <t>Mont.sats styck bålstöd S3 hö VER2</t>
  </si>
  <si>
    <t>Mont.sats styck bålstöd S3 vä VER2</t>
  </si>
  <si>
    <t>Brickbord B3 kpl</t>
  </si>
  <si>
    <t>Brickbord B3</t>
  </si>
  <si>
    <t>Magnetfäste till brickbord B3 kpl</t>
  </si>
  <si>
    <t>Brickbord B3 kit 1</t>
  </si>
  <si>
    <t>Brickbord B3 kit 2</t>
  </si>
  <si>
    <t>Bord S3 kpl</t>
  </si>
  <si>
    <t>Bordskiva</t>
  </si>
  <si>
    <t>Fästsida bord S3 vänster</t>
  </si>
  <si>
    <t>Fästsida bord S3 höger</t>
  </si>
  <si>
    <t>Plastpropp bord S3</t>
  </si>
  <si>
    <t>Täckskiva bord S3</t>
  </si>
  <si>
    <t>Vinkeladapter bord 0gr kpl vänster</t>
  </si>
  <si>
    <t>Vinkeladapter bord 0gr kpl höger</t>
  </si>
  <si>
    <t>Vinkeladapter bord 4gr kpl vänster</t>
  </si>
  <si>
    <t>Vinkeladapter bord 4gr kpl höger</t>
  </si>
  <si>
    <t>Vinkeladapter bord 18mm</t>
  </si>
  <si>
    <t>Vinkeladapter bord 10mm</t>
  </si>
  <si>
    <t>Mutter DIN 985 M5 fzb låg nylock</t>
  </si>
  <si>
    <t>Mutter DIN 985 M5 rostfri nylocklåg</t>
  </si>
  <si>
    <t>Mutter DIN 934 M5 M6M FZSV</t>
  </si>
  <si>
    <t>Mutter DIN 985 M6 fzb låg nylock</t>
  </si>
  <si>
    <t>Mutter nylock M8 Alu</t>
  </si>
  <si>
    <t>Mutter M12x1,25Alum nylock</t>
  </si>
  <si>
    <t>Mutter M10L alu</t>
  </si>
  <si>
    <t>Mutter M10NV15</t>
  </si>
  <si>
    <t>Mutter m låständer M10fzb NV15</t>
  </si>
  <si>
    <t>Mutter enhandsdrift m distans 6mm</t>
  </si>
  <si>
    <t>Fästbussning sidoskydd</t>
  </si>
  <si>
    <t>Fästbussning armstöd lång</t>
  </si>
  <si>
    <t>Ryggstativ S3 för fast rygg br 30</t>
  </si>
  <si>
    <t>Ryggstativ S3 för fast rygg br33</t>
  </si>
  <si>
    <t>Ryggstativ S3 för fast rygg br 36</t>
  </si>
  <si>
    <t>Ryggstativ S3 för fast rygg br 39</t>
  </si>
  <si>
    <t>Ryggstativ S3 för fast rygg br 42</t>
  </si>
  <si>
    <t>Ryggstativ S3 för fast rygg br 45</t>
  </si>
  <si>
    <t>Ryggstativ S3 för fast rygg br 50</t>
  </si>
  <si>
    <t>Ryggstativ U3L för fast rygg 33</t>
  </si>
  <si>
    <t>Ryggstativ  U3L för fast rygg 36</t>
  </si>
  <si>
    <t>Ryggstativ U3L för fast rygg 39</t>
  </si>
  <si>
    <t>Ryggstativ U3L för fast rygg 42</t>
  </si>
  <si>
    <t>Ryggstativ U3L för fast rygg 45</t>
  </si>
  <si>
    <t>7110669 VER2</t>
  </si>
  <si>
    <t>Ryggstativ S3 förstärkt br42 h30</t>
  </si>
  <si>
    <t>7110676 VER2</t>
  </si>
  <si>
    <t>Ryggstativ S3 förstärkt br42 h35</t>
  </si>
  <si>
    <t>7110697 VER2</t>
  </si>
  <si>
    <t>Ryggstativ S3 br 39 h 40 special</t>
  </si>
  <si>
    <t>7110698 VER2</t>
  </si>
  <si>
    <t>Ryggstativ S3 br 27 h 35 special</t>
  </si>
  <si>
    <t>7110699 VER2</t>
  </si>
  <si>
    <t xml:space="preserve">Ryggstativ S3 utsvängd 3cm br45h35 </t>
  </si>
  <si>
    <t>7110701 VER2</t>
  </si>
  <si>
    <t>Ryggstativ S3 br 39 h 30 special</t>
  </si>
  <si>
    <t>Ryggstativ U3L insv 6cm hö b45h30</t>
  </si>
  <si>
    <t>7110702 VER 2</t>
  </si>
  <si>
    <t>Ryggstativ S3 br 42h 40 förstärkt</t>
  </si>
  <si>
    <t>7110703 VER2</t>
  </si>
  <si>
    <t>Ryggstativ S3 br 42h 40 special</t>
  </si>
  <si>
    <t>7110704 VER2</t>
  </si>
  <si>
    <t>Ryggstativ S3 insv 3cm hö b42 h35</t>
  </si>
  <si>
    <t>7110705 VER2</t>
  </si>
  <si>
    <t>Ryggstativ S3 br39 h35 special</t>
  </si>
  <si>
    <t>7110706 VER2</t>
  </si>
  <si>
    <t>Ryggstativ S3 insv 3cm vä b39 h35</t>
  </si>
  <si>
    <t>7110707 VER2</t>
  </si>
  <si>
    <t>Ryggstativ S3 insv 1,5cm vä b39 h35</t>
  </si>
  <si>
    <t>7110708 VER2</t>
  </si>
  <si>
    <t>Ryggstativ S3 br36 h40 special</t>
  </si>
  <si>
    <t>7110709 VER2</t>
  </si>
  <si>
    <t>Ryggstativ S3 br33 h30 förstärkt</t>
  </si>
  <si>
    <t>7110710 VER2</t>
  </si>
  <si>
    <t>Rygg S3 bakåt kpl b39-h35 förstärkt</t>
  </si>
  <si>
    <t>Ryggstativ S3 förstärkt br42 h45</t>
  </si>
  <si>
    <t xml:space="preserve">Ryggstativ U3L SP 39-35 förstärkt </t>
  </si>
  <si>
    <t>Ryggklädsel S3 Utsvängd 3cm br45h30</t>
  </si>
  <si>
    <t>Chassi U2 light/L 39 förhöjd 25 mm</t>
  </si>
  <si>
    <t>Bambino 33l svart - Poorya</t>
  </si>
  <si>
    <t>Chassi Bambino Abd 27 förl +50mm</t>
  </si>
  <si>
    <t>Chassi Bambino Abd 30 förl +50mm</t>
  </si>
  <si>
    <t>Chassi Bambino Abd 33 förl +50mm</t>
  </si>
  <si>
    <t>Chassi Bambino Ej framfl. 24 svart</t>
  </si>
  <si>
    <t>Chassi S3 kort låg 30 svart</t>
  </si>
  <si>
    <t>Chassi S3 Förstärkt 42 svart</t>
  </si>
  <si>
    <t>Chassi S3 Förstärkt 39 svart</t>
  </si>
  <si>
    <t>Chassi S3 Förstärkt 36 svart Korea</t>
  </si>
  <si>
    <t>Chassi U3 Light balans 42 svart</t>
  </si>
  <si>
    <t>Chassi S3 Låg -25mm 33 Svart</t>
  </si>
  <si>
    <t>Chassi S3 Låg -25mm 36 Svart</t>
  </si>
  <si>
    <t>Chassi S3 Låg -25mm 39 Svart</t>
  </si>
  <si>
    <t>Chassi S3 Låg -25mm 42 Svart</t>
  </si>
  <si>
    <t>Chassi S3 Låg -25mm 45 Svart</t>
  </si>
  <si>
    <t>Chassi S3 Låg -25mm 50 Svart</t>
  </si>
  <si>
    <t>Chassi U3 Låg -25mm 33 Svart</t>
  </si>
  <si>
    <t>Chassi U3 Låg -25mm 36 Svart</t>
  </si>
  <si>
    <t>Chassi U3 Låg -25mm 45 Svart</t>
  </si>
  <si>
    <t xml:space="preserve">Chassi S3 kort abd. 4° 36 </t>
  </si>
  <si>
    <t xml:space="preserve">Chassi S3 Swing kort 42 svart </t>
  </si>
  <si>
    <t xml:space="preserve">Chassi S3 Large 36 svart </t>
  </si>
  <si>
    <t>Chassi S3 Kort Låg 30 Svart</t>
  </si>
  <si>
    <t>Chassi S3 Kort Låg 30 Telemagenta</t>
  </si>
  <si>
    <t>Chassi S3 Swing svart C.sortiment</t>
  </si>
  <si>
    <t>Chassi S3 Swing 33 svart</t>
  </si>
  <si>
    <t>Chassi S3 Swing 42 förstärkt svart</t>
  </si>
  <si>
    <t>Chassi S3 Swing låg 0° 33 svart</t>
  </si>
  <si>
    <t>Chassi S3 Swing 30 svart</t>
  </si>
  <si>
    <t>Chassi S3 Swing kort 42 för lack</t>
  </si>
  <si>
    <t xml:space="preserve">Chassi S3 Swing kort 45 svart </t>
  </si>
  <si>
    <t xml:space="preserve">Chassi S3 kort abd. 4° 45 svart </t>
  </si>
  <si>
    <t>Chassi S3 Kort Låg 42 Svart</t>
  </si>
  <si>
    <t>Fotbåge U form 39 förlängd</t>
  </si>
  <si>
    <t>Fotbåge U2 36 liten hälbåge</t>
  </si>
  <si>
    <t>Fotbåge U2 33 liten hälbåge</t>
  </si>
  <si>
    <t>Fotbåge U2 39 liten hälbåge</t>
  </si>
  <si>
    <t>Fotbåge U2 42 liten hälbåge</t>
  </si>
  <si>
    <t>Fotbåge U2 39  utsvängd för stora</t>
  </si>
  <si>
    <t>Fotbåge U2 42  framåtvänd</t>
  </si>
  <si>
    <t>Fotbåge U form 33 förlängd</t>
  </si>
  <si>
    <t>Fotbåge U form 36 förlängd</t>
  </si>
  <si>
    <t>Fotbåge U form 42  förlängd</t>
  </si>
  <si>
    <t>Fotbåge U form 33 för S serien</t>
  </si>
  <si>
    <t>Fotbåge U form 36 för S serien</t>
  </si>
  <si>
    <t>Fotbåge U form 39 för S serien</t>
  </si>
  <si>
    <t>Fotbåge U form 42 för S serien</t>
  </si>
  <si>
    <t>Fotbåge U form 45 för S serien</t>
  </si>
  <si>
    <t>Fotbåge U form 50 för S serien</t>
  </si>
  <si>
    <t>Fotbåge U form 50  förlängd</t>
  </si>
  <si>
    <t>FotbågeU2 33utsvängd för stora skor</t>
  </si>
  <si>
    <t>Fotbåge U2 36 först. liten hälbåge</t>
  </si>
  <si>
    <t xml:space="preserve">Fotbåge för U-serien utsvängd m. </t>
  </si>
  <si>
    <t>Fotbåge Förstärkt V-form för 33</t>
  </si>
  <si>
    <t>Drivring Titan 19 mm Spinergy 25"</t>
  </si>
  <si>
    <t>Fotbåge U form 30 förlängd</t>
  </si>
  <si>
    <t>Fotbåge U form 30 förstärkt</t>
  </si>
  <si>
    <t>Fotbåge U form 42 för U serien</t>
  </si>
  <si>
    <t>Fotbåge U.form 30 ( Hanna )</t>
  </si>
  <si>
    <t>Drivring Ergo Para CP 24EPCPE6512</t>
  </si>
  <si>
    <t>Drivring Friktion-S 24" DR7107-6</t>
  </si>
  <si>
    <t>Drivring DR7103-1 Titan 16 mm</t>
  </si>
  <si>
    <t>Drivring Titan 19 mm Spinergy24"/6P</t>
  </si>
  <si>
    <t>Drivring Polymerkompakt DR7205-1</t>
  </si>
  <si>
    <t>Drivring Spinergy 22" Titan 16mm</t>
  </si>
  <si>
    <t>Drivring Titan 18" Micro</t>
  </si>
  <si>
    <t>Drivring Titan Spox 26" DR7304</t>
  </si>
  <si>
    <t>Drivring Titan för 700 hjul 16 mm</t>
  </si>
  <si>
    <t>Drivring Titan 19 mm 25 "/6P</t>
  </si>
  <si>
    <t>Drivring Para för 24" 6P</t>
  </si>
  <si>
    <t>Drivring Tetra för 25" 6P</t>
  </si>
  <si>
    <t xml:space="preserve">Drivring 25" Natural Fit LT </t>
  </si>
  <si>
    <t>Drivring Para för 25" 6P</t>
  </si>
  <si>
    <t>Däck Schwalbe One 25" V-Guard Fold.</t>
  </si>
  <si>
    <t>Drivhjul 26"Spox std Gula ekrar</t>
  </si>
  <si>
    <t>Drivhjul 24" Spox LX vita ekrar</t>
  </si>
  <si>
    <t>Drivhjul 24" Spox LX rosa ekrar</t>
  </si>
  <si>
    <t>Drivhjul Spinergy 25" LX sv/vita</t>
  </si>
  <si>
    <t>Drivhjul 24" Spox LX svarta ekrar</t>
  </si>
  <si>
    <t>Drivhjul 24" Spox LX svart nav</t>
  </si>
  <si>
    <t>Drivhjul 26" Spinergy LX sv/vita</t>
  </si>
  <si>
    <t>Drivhjul Spinergy Spox 25"  sv/vita</t>
  </si>
  <si>
    <t>Drivhjul Spox 24" Röda ekrar,</t>
  </si>
  <si>
    <t>Drivhjul Spinergy 24" LX sv/vita</t>
  </si>
  <si>
    <t>Drivhjul Spinergy Spox 25"  sv/röda</t>
  </si>
  <si>
    <t>Drivhjul Spinergy 24" LX sv/Rosa</t>
  </si>
  <si>
    <t>Drivhjul 25" Spox LX sv-rosa ekrar</t>
  </si>
  <si>
    <t>Drivhjul 25" Spox LX sv/vita ekrar</t>
  </si>
  <si>
    <t>Drivhjul Spinergy 24" LX</t>
  </si>
  <si>
    <t>Drivhjul 24" Spox LX sv-gröna ekrar</t>
  </si>
  <si>
    <t>Drivring Tetra 24" 6 öron</t>
  </si>
  <si>
    <t>Drivhjul 26" Spox  Silver nav</t>
  </si>
  <si>
    <t>Drivhjul Spinergy 26" SLX</t>
  </si>
  <si>
    <t>Drivhjul 25" Spox LX sv/röda ekrar</t>
  </si>
  <si>
    <t>Eker Spox 26" vit med nippel</t>
  </si>
  <si>
    <t>Drivhjul Spinergy Sport 26" LX</t>
  </si>
  <si>
    <t>SLX hjul 28"  Röda ekrar silver nav</t>
  </si>
  <si>
    <t>SLX hjul 26" silver nav</t>
  </si>
  <si>
    <t>Drivhjul 24" Spox X Gröna ekrar</t>
  </si>
  <si>
    <t>Drivhjul 24" X Röda ekrar svart nav</t>
  </si>
  <si>
    <t>Drivhjul 28" Spinergy SLX Custom</t>
  </si>
  <si>
    <t>Däck RR 26" Svart</t>
  </si>
  <si>
    <t>Drivhjul Spinergy 24" CLX</t>
  </si>
  <si>
    <t>Drivhjul 24" X Blåa ekrar svart nav</t>
  </si>
  <si>
    <t>Drivhjul 24" X violett svart nav</t>
  </si>
  <si>
    <t>Drivhjul 24" X Gröna ekrar svartnav</t>
  </si>
  <si>
    <t>Rör bakaxel kpl Carbon b42 0 grad</t>
  </si>
  <si>
    <t>Bricka BRB stål 5,3x10x1 fzb</t>
  </si>
  <si>
    <t>Bricka PS 5x10x0,5 obeh DIN 988</t>
  </si>
  <si>
    <t>Bricka NB 5x16x1 fzb</t>
  </si>
  <si>
    <t>Bricka BRB stål 6,4x12 fzb</t>
  </si>
  <si>
    <t>Bricka NB 6x16x1 fzb</t>
  </si>
  <si>
    <t>Bricka RBL 8,4x15x1,6 fzb</t>
  </si>
  <si>
    <t>Bricka PS 8x14x1 fzb</t>
  </si>
  <si>
    <t>Bricka 8,4x16x1,6 fzsv</t>
  </si>
  <si>
    <t>Bricka PS16x22x1 fzb</t>
  </si>
  <si>
    <t>Strapps</t>
  </si>
  <si>
    <t>Dekal varningstriangel Tippskydd</t>
  </si>
  <si>
    <t>ISO 7176-19 Label</t>
  </si>
  <si>
    <t>Ändpropp IKP 1915-17S</t>
  </si>
  <si>
    <t>Ändpropp tippskydd S3</t>
  </si>
  <si>
    <t>Ändpropp S3 Chassi hål 16</t>
  </si>
  <si>
    <t>Ändpropp Benstödsrör S3 Swing</t>
  </si>
  <si>
    <t>Stjärnvred WN 450 30-M6x15</t>
  </si>
  <si>
    <t>Ändpropp IK 16-12 svart</t>
  </si>
  <si>
    <t>Shims bakaxel 3,7-6,8 mm (Kit)</t>
  </si>
  <si>
    <t>Ändavslutning lagerhylsa U2</t>
  </si>
  <si>
    <t xml:space="preserve">Plåt fjäderförlägning </t>
  </si>
  <si>
    <t>Distans mutterstycke 8mm</t>
  </si>
  <si>
    <t>Distans mutterstycke 12 mm</t>
  </si>
  <si>
    <t>Distans mutterstycke 16 mm</t>
  </si>
  <si>
    <t>Distans S3-länkhjul på S/U 2-gaffel</t>
  </si>
  <si>
    <t>Skydd bakaxel X</t>
  </si>
  <si>
    <t>Skydd lagerhylsa X</t>
  </si>
  <si>
    <t>Skydd bakstycke X par</t>
  </si>
  <si>
    <t>Distans SU2-länkhjul på S3-gaffel</t>
  </si>
  <si>
    <t>Distans X länkhjul på S/U3 gaffel</t>
  </si>
  <si>
    <t>Ändpropp chassi U3 Light</t>
  </si>
  <si>
    <t>Ändpropp chassi S3 övre</t>
  </si>
  <si>
    <t>Ändpropp chassi S3 nedre</t>
  </si>
  <si>
    <t>Täckpropp lagerhylsa S3 övre</t>
  </si>
  <si>
    <t>Täckpropp lagerhylsa S3 undre</t>
  </si>
  <si>
    <t>Täckpropp lagerhylsa S3 kit</t>
  </si>
  <si>
    <t>Täckpropp tippskydd B3</t>
  </si>
  <si>
    <t>Bussning rygginfästning U2 light</t>
  </si>
  <si>
    <t>Stopp klack</t>
  </si>
  <si>
    <t>ES 0,75*6*20</t>
  </si>
  <si>
    <t>Bult klämma</t>
  </si>
  <si>
    <t>Fjäderplatta 19</t>
  </si>
  <si>
    <t xml:space="preserve">Fjäderplatta X </t>
  </si>
  <si>
    <t>Insert plastdel X-profil</t>
  </si>
  <si>
    <t>Insert plastdel X-pr. m. glidst. vä</t>
  </si>
  <si>
    <t>Insert plastdel X-pr. m. glidst. hö</t>
  </si>
  <si>
    <t>Insert plastdel 19-rör</t>
  </si>
  <si>
    <t>Insert plastdel 19-rör.m. glidst vä</t>
  </si>
  <si>
    <t>Insert plastdel 19-rör.m. glidst hö</t>
  </si>
  <si>
    <t>Rördel L1</t>
  </si>
  <si>
    <t>Rördel L2</t>
  </si>
  <si>
    <t>Rördel L3</t>
  </si>
  <si>
    <t>Rördel L4</t>
  </si>
  <si>
    <t>Bussning länkhjul</t>
  </si>
  <si>
    <t>Sitsväska sitsmonterad</t>
  </si>
  <si>
    <t>Sitsväska dynmonterad</t>
  </si>
  <si>
    <t>Fästplåt höftbälte st</t>
  </si>
  <si>
    <t>Fäste höftbälte klämma kpl st</t>
  </si>
  <si>
    <t>Fästplåt höftbälte kpl par</t>
  </si>
  <si>
    <t>Fäste höftbälte klämma kpl par</t>
  </si>
  <si>
    <t xml:space="preserve">Fäste höftbälte 4-p kpl sats  </t>
  </si>
  <si>
    <t>Rörskydd</t>
  </si>
  <si>
    <t>Rörskydd X</t>
  </si>
  <si>
    <t>Ryggsäck Panthera / 2</t>
  </si>
  <si>
    <t>Kryckkäppshållare S3 kpl</t>
  </si>
  <si>
    <t>Stansad låda med låsbart lock vit</t>
  </si>
  <si>
    <t>Färg Blue Classic</t>
  </si>
  <si>
    <t>Färg Mean Green</t>
  </si>
  <si>
    <t>Färg Panorange</t>
  </si>
  <si>
    <t>Färg Brave Bronze</t>
  </si>
  <si>
    <t>Färg Grå metallic</t>
  </si>
  <si>
    <t>Färg Anodic Black</t>
  </si>
  <si>
    <t>Färg White Pearl</t>
  </si>
  <si>
    <t>Färg Racing Blue</t>
  </si>
  <si>
    <t>Färg Ruby Red</t>
  </si>
  <si>
    <t>Färg Sting Yellow</t>
  </si>
  <si>
    <t>Färg Horizon Grey</t>
  </si>
  <si>
    <t>Färg Pine Green</t>
  </si>
  <si>
    <t>Färg Pearl Violet</t>
  </si>
  <si>
    <t>G350</t>
  </si>
  <si>
    <t>Rullstol X</t>
  </si>
  <si>
    <t>G515</t>
  </si>
  <si>
    <t>Rullstol Micro 3</t>
  </si>
  <si>
    <t>G517</t>
  </si>
  <si>
    <t>Rullstol Bambino 3</t>
  </si>
  <si>
    <t>G518</t>
  </si>
  <si>
    <t>Rullstol Bambino 3 Kort</t>
  </si>
  <si>
    <t>G547</t>
  </si>
  <si>
    <t>Rullstol S3 Swing</t>
  </si>
  <si>
    <t>G548</t>
  </si>
  <si>
    <t>Rullstol S3</t>
  </si>
  <si>
    <t>G549</t>
  </si>
  <si>
    <t>Rullstol S3 kort</t>
  </si>
  <si>
    <t>G551</t>
  </si>
  <si>
    <t>Rullstol U3</t>
  </si>
  <si>
    <t>G552</t>
  </si>
  <si>
    <t>Rullstol S3 kort låg</t>
  </si>
  <si>
    <t>G553</t>
  </si>
  <si>
    <t>Rullstol S3 Swing Kort</t>
  </si>
  <si>
    <t>G554</t>
  </si>
  <si>
    <t>Rullstol S3 large</t>
  </si>
  <si>
    <t>G555</t>
  </si>
  <si>
    <t xml:space="preserve">Rullstol S3 Kort Abd 4° </t>
  </si>
  <si>
    <t>G557</t>
  </si>
  <si>
    <t>Rullstol U3 Light</t>
  </si>
  <si>
    <t>G5801</t>
  </si>
  <si>
    <t>Rullstol U3 Y-front</t>
  </si>
  <si>
    <t>G5802</t>
  </si>
  <si>
    <t>Rullstol U3 Y-front kort</t>
  </si>
  <si>
    <t>G5805</t>
  </si>
  <si>
    <t>Rullstol U3 Light Y-front</t>
  </si>
  <si>
    <t>G5806</t>
  </si>
  <si>
    <t>Rullstol U3 Light Y-front 90°</t>
  </si>
  <si>
    <t>G5808</t>
  </si>
  <si>
    <t>G5809</t>
  </si>
  <si>
    <t>G581</t>
  </si>
  <si>
    <t>Rullstol S3 Swing +25</t>
  </si>
  <si>
    <t>G5818</t>
  </si>
  <si>
    <t>Rullstol S3 Swing Lång</t>
  </si>
  <si>
    <t>G583</t>
  </si>
  <si>
    <t>Rullstol S3 0°</t>
  </si>
  <si>
    <t>G5831</t>
  </si>
  <si>
    <t>Rullstol S3 Lång</t>
  </si>
  <si>
    <t>G5837</t>
  </si>
  <si>
    <t>Rullstol S3 Swing Låg 0°</t>
  </si>
  <si>
    <t>G584</t>
  </si>
  <si>
    <t>Rullstol U3 Y-front låg</t>
  </si>
  <si>
    <t>G715</t>
  </si>
  <si>
    <t>Rullstol C-sortiment</t>
  </si>
  <si>
    <t>MST11020</t>
  </si>
  <si>
    <t>ST. KIT CLAMPS MOTOTRONIK</t>
  </si>
  <si>
    <t>Däck 18" tubdäck Micro</t>
  </si>
  <si>
    <t>Eker Spox 25" Sport svart</t>
  </si>
  <si>
    <t>Eker Spox 26" Sport Red</t>
  </si>
  <si>
    <t>Däck 20" tubdäck Micro</t>
  </si>
  <si>
    <t>1203224R</t>
  </si>
  <si>
    <t>Drivring Titan för 24"-hjul SPIDER</t>
  </si>
  <si>
    <t>Drivring titan för 700 cc Spinerg</t>
  </si>
  <si>
    <t>Drivring Alu 22" enhand stor</t>
  </si>
  <si>
    <t>Drivring Alu 26" enhand liten</t>
  </si>
  <si>
    <t>Gaffel 105, hjul 90 mm, tapp X2/24"</t>
  </si>
  <si>
    <t>Gaffel 105, hjul120 mm, tapp X2/24"</t>
  </si>
  <si>
    <t>Gaffel 120, hjul 90 mm, tapp X2/24"</t>
  </si>
  <si>
    <t>3063035N</t>
  </si>
  <si>
    <t>Chassi S2 kort låg 30 svart</t>
  </si>
  <si>
    <t>Camberaxel sats 30  4 gr</t>
  </si>
  <si>
    <t>Camberaxelrör 26 mm/24 cm 6 gr kpl</t>
  </si>
  <si>
    <t>Camberaxel sats 24 6 gr 26 mm</t>
  </si>
  <si>
    <t>Camberaxelrör 26 mm/27 cm 6 gr kpl</t>
  </si>
  <si>
    <t>Camberaxel sats 27 6 gr 26 mm</t>
  </si>
  <si>
    <t>Camberaxelrör 26 mm/30 cm 6 gr kpl</t>
  </si>
  <si>
    <t>Camberaxel sats 30 6 gr 26 mm</t>
  </si>
  <si>
    <t>Camberaxelrör 26 mm/33 cm 6 gr kpl</t>
  </si>
  <si>
    <t>Camberaxel sats 33 6 gr 26 mm</t>
  </si>
  <si>
    <t>Ryggstativ X3 br 33 h 40</t>
  </si>
  <si>
    <t>Ryggstativ X3 br 36 h 40</t>
  </si>
  <si>
    <t>Ryggstativ X3 br 39 h 40</t>
  </si>
  <si>
    <t>Ryggstativ X3 br 42 h 40</t>
  </si>
  <si>
    <t>Ryggstativ X3 br 45 h 40</t>
  </si>
  <si>
    <t>Rygg X3 kpl. br 33 h 22</t>
  </si>
  <si>
    <t>Rygg X3 kpl. br 33 h 23</t>
  </si>
  <si>
    <t>Rygg X3 kpl. br 33 h 24</t>
  </si>
  <si>
    <t>Rygg X3 kpl. br 33 h 25</t>
  </si>
  <si>
    <t>Rygg X3 kpl. br 33 h 26</t>
  </si>
  <si>
    <t>Rygg X3 kpl. br 33 h 27</t>
  </si>
  <si>
    <t>Rygg X3 kpl. br 33 h 28</t>
  </si>
  <si>
    <t>Rygg X3 kpl. br 33 h 29</t>
  </si>
  <si>
    <t>Rygg X3 kpl. br 33 h 30</t>
  </si>
  <si>
    <t>Rygg X3 kpl. br 33 h 31</t>
  </si>
  <si>
    <t>Rygg X3 kpl. br 33 h 32</t>
  </si>
  <si>
    <t>Rygg X3 kpl. br 33 h 33</t>
  </si>
  <si>
    <t>Rygg X3 kpl. br 33 h 34</t>
  </si>
  <si>
    <t>Rygg X3 kpl. br 33 h 35</t>
  </si>
  <si>
    <t>Rygg X3 kpl. br 36 h 22</t>
  </si>
  <si>
    <t>Rygg X3 kpl. br 36 h 23</t>
  </si>
  <si>
    <t>Rygg X3 kpl. br 36 h 24</t>
  </si>
  <si>
    <t>Rygg X3 kpl. br 36 h 25</t>
  </si>
  <si>
    <t>Rygg X3 kpl. br 36 h 26</t>
  </si>
  <si>
    <t>Rygg X3 kpl. br 36 h 27</t>
  </si>
  <si>
    <t>Rygg X3 kpl. br 36 h 28</t>
  </si>
  <si>
    <t>Rygg X3 kpl. br 36 h 29</t>
  </si>
  <si>
    <t>Rygg X3 kpl. br 36 h 30</t>
  </si>
  <si>
    <t>Rygg X3 kpl. br 36 h 31</t>
  </si>
  <si>
    <t>Rygg X3 kpl. br 36 h 32</t>
  </si>
  <si>
    <t>Rygg X3 kpl. br 36 h 33</t>
  </si>
  <si>
    <t>Rygg X3 kpl. br 36 h 34</t>
  </si>
  <si>
    <t>Rygg X3 kpl. br 36 h 35</t>
  </si>
  <si>
    <t>Rygg X3 kpl. br 39 h 22</t>
  </si>
  <si>
    <t>Rygg X3 kpl. br 39 h 23</t>
  </si>
  <si>
    <t>Rygg X3 kpl. br 39 h 24</t>
  </si>
  <si>
    <t>Rygg X3 kpl. br 39 h 25</t>
  </si>
  <si>
    <t>Rygg X3 kpl. br 39 h 26</t>
  </si>
  <si>
    <t>Rygg X3 kpl. br 39 h 27</t>
  </si>
  <si>
    <t>Rygg X3 kpl. br 39 h 28</t>
  </si>
  <si>
    <t>Rygg X3 kpl. br 39 h 29</t>
  </si>
  <si>
    <t>Rygg X3 kpl. br 39 h 30</t>
  </si>
  <si>
    <t>Rygg X3 kpl. br 39 h 31</t>
  </si>
  <si>
    <t>Rygg X3 kpl. br 39 h 32</t>
  </si>
  <si>
    <t>Rygg X3 kpl. br 39 h 33</t>
  </si>
  <si>
    <t>Rygg X3 kpl. br 39 h 34</t>
  </si>
  <si>
    <t>Rygg X3 kpl. br 39 h 35</t>
  </si>
  <si>
    <t>Rygg X3 kpl. br 42 h 22</t>
  </si>
  <si>
    <t>Rygg X3 kpl. br 42 h 23</t>
  </si>
  <si>
    <t>Rygg X3 kpl. br 42 h 24</t>
  </si>
  <si>
    <t>Rygg X3 kpl. br 42 h 25</t>
  </si>
  <si>
    <t>Rygg X3 kpl. br 42 h 26</t>
  </si>
  <si>
    <t>Rygg X3 kpl. br 42 h 27</t>
  </si>
  <si>
    <t>Rygg X3 kpl. br 42 h 28</t>
  </si>
  <si>
    <t>Rygg X3 kpl. br 42 h 29</t>
  </si>
  <si>
    <t>Rygg X3 kpl. br 42 h 30</t>
  </si>
  <si>
    <t>Rygg X3 kpl. br 42 h 31</t>
  </si>
  <si>
    <t>Rygg X3 kpl. br 42 h 32</t>
  </si>
  <si>
    <t>Rygg X3 kpl. br 42 h 33</t>
  </si>
  <si>
    <t>Rygg X3 kpl. br 42 h 34</t>
  </si>
  <si>
    <t>Rygg X3 kpl. br 42 h 35</t>
  </si>
  <si>
    <t>Rygg X3 kpl. br 45 h 22</t>
  </si>
  <si>
    <t>Rygg X3 kpl. br 45 h 23</t>
  </si>
  <si>
    <t>Rygg X3 kpl. br 45 h 24</t>
  </si>
  <si>
    <t>Rygg X3 kpl. br 45 h 25</t>
  </si>
  <si>
    <t>Rygg X3 kpl. br 45 h 26</t>
  </si>
  <si>
    <t>Rygg X3 kpl. br 45 h 27</t>
  </si>
  <si>
    <t>Rygg X3 kpl. br 45 h 28</t>
  </si>
  <si>
    <t>Rygg X3 kpl. br 45 h 29</t>
  </si>
  <si>
    <t>Rygg X3 kpl. br 45 h 30</t>
  </si>
  <si>
    <t>Rygg X3 kpl. br 45 h 31</t>
  </si>
  <si>
    <t>Rygg X3 kpl. br 45 h 32</t>
  </si>
  <si>
    <t>Rygg X3 kpl. br 45 h 33</t>
  </si>
  <si>
    <t>Rygg X3 kpl. br 45 h 34</t>
  </si>
  <si>
    <t>Rygg X3 kpl. br 45 h 35</t>
  </si>
  <si>
    <t>3503301G</t>
  </si>
  <si>
    <t>Rullstol X3 33 A1 chassi Grund</t>
  </si>
  <si>
    <t>3503302G</t>
  </si>
  <si>
    <t>Rullstol X3 33 A2 chassi Grund</t>
  </si>
  <si>
    <t>3503303G</t>
  </si>
  <si>
    <t>Rullstol X3 33 B1 chassi Grund</t>
  </si>
  <si>
    <t>3503304G</t>
  </si>
  <si>
    <t>Rullstol X3 33 B2 chassi Grund</t>
  </si>
  <si>
    <t>3503601G</t>
  </si>
  <si>
    <t>Rullstol X3 36 A1 chassi Grund</t>
  </si>
  <si>
    <t>3503602G</t>
  </si>
  <si>
    <t>Rullstol X3 36 A2 chassi Grund</t>
  </si>
  <si>
    <t>3503603G</t>
  </si>
  <si>
    <t>Rullstol X3 36 B1 chassi Grund</t>
  </si>
  <si>
    <t>3503604G</t>
  </si>
  <si>
    <t>Rullstol X3 36 B2 chassi Grund</t>
  </si>
  <si>
    <t>3503901G</t>
  </si>
  <si>
    <t>Rullstol X3 39 A1 chassi Grund</t>
  </si>
  <si>
    <t>3503902G</t>
  </si>
  <si>
    <t>Rullstol X3 39 A2 chassi Grund</t>
  </si>
  <si>
    <t>3503903G</t>
  </si>
  <si>
    <t>Rullstol X3 39 B1 chassi Grund</t>
  </si>
  <si>
    <t>3503904G</t>
  </si>
  <si>
    <t>Rullstol X3 39 B2 chassi Grund</t>
  </si>
  <si>
    <t>3504201G</t>
  </si>
  <si>
    <t>Rullstol X3 42 A1 chassi Grund</t>
  </si>
  <si>
    <t>3504202G</t>
  </si>
  <si>
    <t>Rullstol X3 42 A2 chassi Grund</t>
  </si>
  <si>
    <t>3504203G</t>
  </si>
  <si>
    <t>Rullstol X3 42 B1 chassi Grund</t>
  </si>
  <si>
    <t>3504204G</t>
  </si>
  <si>
    <t>Rullstol X3 42 B2 chassi Grund</t>
  </si>
  <si>
    <t>3504501G</t>
  </si>
  <si>
    <t>Rullstol X3 45 A1 chassi Grund</t>
  </si>
  <si>
    <t>3504502G</t>
  </si>
  <si>
    <t>Rullstol X3 45 A2 chassi Grund</t>
  </si>
  <si>
    <t>3504503G</t>
  </si>
  <si>
    <t>Rullstol X3 45 B1 chassi Grund</t>
  </si>
  <si>
    <t>3504504G</t>
  </si>
  <si>
    <t>Rullstol X3 45 B2 chassi Grund</t>
  </si>
  <si>
    <t>3523000BLG</t>
  </si>
  <si>
    <t>Rullstol S2 kort låg 30 svart Grund</t>
  </si>
  <si>
    <t>3523000GP</t>
  </si>
  <si>
    <t>Rullstol S2 Kort låg br 30 olackera</t>
  </si>
  <si>
    <t>Förstärkning kit till FW B3 br 24</t>
  </si>
  <si>
    <t>Fäste carbon X3 bak ej adap kpl vä</t>
  </si>
  <si>
    <t>Fäste carbon X3 bak ej adap kpl hö</t>
  </si>
  <si>
    <t>Fäste carbon X3 bak kort adapter hö</t>
  </si>
  <si>
    <t>Fäste carbon X3 bak kort adapter vä</t>
  </si>
  <si>
    <t>Fäste carbon X3 bak lång adapter hö</t>
  </si>
  <si>
    <t>Fäste carbon X3 bak lång adapter vä</t>
  </si>
  <si>
    <t>Fäste S3 X3 bakre ej adapter kpl hö</t>
  </si>
  <si>
    <t>Fäste S3 X3 bakre kort adap kpl hö</t>
  </si>
  <si>
    <t>Fäste S3 X3 bakre kort adap kpl vä</t>
  </si>
  <si>
    <t>Fäste S3 X3 bakre lång adap kpl hö</t>
  </si>
  <si>
    <t>Fäste S3 X3 bakre lång adap kpl vä</t>
  </si>
  <si>
    <t>Fäste sidoskydd X3 främre kpl hö</t>
  </si>
  <si>
    <t>Fäste sidoskydd X3 främre kpl vä</t>
  </si>
  <si>
    <t>Fjäder 0,75x6x30</t>
  </si>
  <si>
    <t>Tvärstag br 33 broms X3</t>
  </si>
  <si>
    <t>Tvärstag br 36 broms X3</t>
  </si>
  <si>
    <t>Tvärstag br 39 broms X3</t>
  </si>
  <si>
    <t>Tvärstag br 42 broms X3</t>
  </si>
  <si>
    <t>Tvärstag br 45 broms X3</t>
  </si>
  <si>
    <t>Enhandsbroms X3 33 Vä</t>
  </si>
  <si>
    <t>Enhandsbroms X3 33 Hö</t>
  </si>
  <si>
    <t>Enhandsbroms X3 36 Vä</t>
  </si>
  <si>
    <t>Enhandsbroms X3 36 Hö</t>
  </si>
  <si>
    <t>Enhandsbroms X3 39 Vä</t>
  </si>
  <si>
    <t>Enhandsbroms X3 39 Hö</t>
  </si>
  <si>
    <t>Enhandsbroms X3 42 Vä</t>
  </si>
  <si>
    <t>Enhandsbroms X3 42 Hö</t>
  </si>
  <si>
    <t>Enhandsbroms X3 45 Vä</t>
  </si>
  <si>
    <t>Enhandsbroms X3 45 Hö</t>
  </si>
  <si>
    <t>Fäste bröstsele</t>
  </si>
  <si>
    <t>Fäste bröstsele B3 kpl</t>
  </si>
  <si>
    <t>5030030G</t>
  </si>
  <si>
    <t>Rullstol S3 Kort låg 30 Svart</t>
  </si>
  <si>
    <t>5030030GP</t>
  </si>
  <si>
    <t>Rullstol S3 Kort låg 30 olackerad</t>
  </si>
  <si>
    <t>5033041BL</t>
  </si>
  <si>
    <t>Chassi S3 Kort låg  30 svart</t>
  </si>
  <si>
    <t>5054240BL</t>
  </si>
  <si>
    <t>Chassi S3 Swing kort 42 svart</t>
  </si>
  <si>
    <t>5054240BLN</t>
  </si>
  <si>
    <t>5202435 VER2</t>
  </si>
  <si>
    <t>Ryggstativ S3 br 24 h 35</t>
  </si>
  <si>
    <t>5523000BLG</t>
  </si>
  <si>
    <t>Rullstol S3 Kort låg 30 svart</t>
  </si>
  <si>
    <t>5534200BLG</t>
  </si>
  <si>
    <t>Rullstol S3 Swing Kort 42 svart</t>
  </si>
  <si>
    <t>5534500BLG</t>
  </si>
  <si>
    <t>Rullstol S3 Swing Kort 45 svart</t>
  </si>
  <si>
    <t>5722434Ö</t>
  </si>
  <si>
    <t>5723335Ö</t>
  </si>
  <si>
    <t>5723340Ö</t>
  </si>
  <si>
    <t>5723635Ö</t>
  </si>
  <si>
    <t>5723640Ö</t>
  </si>
  <si>
    <t>5723935Ö</t>
  </si>
  <si>
    <t>5723940Ö</t>
  </si>
  <si>
    <t>5724235Ö</t>
  </si>
  <si>
    <t>5724240Ö</t>
  </si>
  <si>
    <t>5724535Ö</t>
  </si>
  <si>
    <t>5724540Ö</t>
  </si>
  <si>
    <t>5724840Ö</t>
  </si>
  <si>
    <t>5725035Ö</t>
  </si>
  <si>
    <t>5725040Ö</t>
  </si>
  <si>
    <t>5752434Ö</t>
  </si>
  <si>
    <t>5753335Ö</t>
  </si>
  <si>
    <t>5753340Ö</t>
  </si>
  <si>
    <t>5753635Ö</t>
  </si>
  <si>
    <t>5753640Ö</t>
  </si>
  <si>
    <t>5753935Ö</t>
  </si>
  <si>
    <t>5753940Ö</t>
  </si>
  <si>
    <t>5753945Ö</t>
  </si>
  <si>
    <t>5754235Ö</t>
  </si>
  <si>
    <t>5754240Ö</t>
  </si>
  <si>
    <t>5754245Ö</t>
  </si>
  <si>
    <t>5754535Ö</t>
  </si>
  <si>
    <t>5754540Ö</t>
  </si>
  <si>
    <t>5754545Ö</t>
  </si>
  <si>
    <t>5754840Ö</t>
  </si>
  <si>
    <t>5754845Ö</t>
  </si>
  <si>
    <t>5755040Ö</t>
  </si>
  <si>
    <t>5755045Ö</t>
  </si>
  <si>
    <t>5803033BLG</t>
  </si>
  <si>
    <t>Rullstol U3 Light Y-front 33 svart</t>
  </si>
  <si>
    <t>5803033G</t>
  </si>
  <si>
    <t>5803036BLG</t>
  </si>
  <si>
    <t>Rullstol U3 Light Y-front 36 svart</t>
  </si>
  <si>
    <t>5803039BLG</t>
  </si>
  <si>
    <t>Rullstol U3 Light Y-front 39 svart</t>
  </si>
  <si>
    <t>5803042BLG</t>
  </si>
  <si>
    <t>Rullstol U3 Light Y-front 42 svart</t>
  </si>
  <si>
    <t>5803045BLG</t>
  </si>
  <si>
    <t>Rullstol U3 Light Y-front 45 svart</t>
  </si>
  <si>
    <t>Bult KTS 8.8 TORX M4x8 FZSV</t>
  </si>
  <si>
    <t>7120709 VER2</t>
  </si>
  <si>
    <t>Chassi special 42  Erik W</t>
  </si>
  <si>
    <t>7160011G</t>
  </si>
  <si>
    <t>Rullstol X 36 chassi Grund -30mm 5"</t>
  </si>
  <si>
    <t>Fotbåge framåtvänd 30 förstärkt</t>
  </si>
  <si>
    <t>Däck Schwalbe One 25" Raceguard</t>
  </si>
  <si>
    <t>Rör bakaxel kpl Carbon 39 0 grader</t>
  </si>
  <si>
    <t>Rör bakaxel kpl Carbon 36 0 grader</t>
  </si>
  <si>
    <t>Rör bakaxel Carbon b42 +1,5 0 grad</t>
  </si>
  <si>
    <t>Rör bakaxel kpl Carbon b45 0 grad</t>
  </si>
  <si>
    <t>Rör bakaxel kpl Carbon b50 0 grad</t>
  </si>
  <si>
    <t>Rör bakaxel kpl Carbon 45 0 grader</t>
  </si>
  <si>
    <t>Fästpunktsmärkning (Kroksymbol)</t>
  </si>
  <si>
    <t>Höftbälte BP 2p S32 b25mm.Swivel</t>
  </si>
  <si>
    <t>Höftbälte BP 2p S38 b25mm.Swivel</t>
  </si>
  <si>
    <t>Höftbälte BP 2p M36 b40mm.Swivel</t>
  </si>
  <si>
    <t xml:space="preserve">Höftbälte BP4p S32b25mm.Plastknapp </t>
  </si>
  <si>
    <t xml:space="preserve">Höftbälte BP4p S38b25mm.Plastknapp </t>
  </si>
  <si>
    <t xml:space="preserve">Höftbälte BP4p M36b40mm.Plastknapp </t>
  </si>
  <si>
    <t xml:space="preserve">Höftbälte BP2p M36b40mm.Tryckknapp </t>
  </si>
  <si>
    <t xml:space="preserve">Höftbälte BP2p M46b40mm.Tryckknapp </t>
  </si>
  <si>
    <t xml:space="preserve">Höftbälte BP2p L62b50mm.Tryckknapp </t>
  </si>
  <si>
    <t>Höftbälte BP 4p M36b40mm.Tryckknapp</t>
  </si>
  <si>
    <t>Höftbälte BP 4p M46b40mm.Tryckknapp</t>
  </si>
  <si>
    <t>Höftbälte BP 4p L62b50mm.Tryckknapp</t>
  </si>
  <si>
    <t>Bröstsele BP Stayflex XS</t>
  </si>
  <si>
    <t>Bröstsele BP Stayflex S</t>
  </si>
  <si>
    <t>Bröstsele BP Stayflex M</t>
  </si>
  <si>
    <t>Bröstsele BP Pivofit XXS</t>
  </si>
  <si>
    <t>Bröstsele BP Pivofit XS</t>
  </si>
  <si>
    <t>Bröstsele BP Pivofit S</t>
  </si>
  <si>
    <t>Bröstsele BP Pivofit  M</t>
  </si>
  <si>
    <t>Höftbälte BP 2p S32b25mm.Swivel kpl</t>
  </si>
  <si>
    <t>Höftbälte BP 2p S38b25mm.Swivel kpl</t>
  </si>
  <si>
    <t>Höftbälte BP 2p M36b40mm.Swivel kpl</t>
  </si>
  <si>
    <t>Höftbälte BP 4pS32b25mm.plastkn kpl</t>
  </si>
  <si>
    <t>Höftbälte BP 4pS38b25mm.Plastkn kpl</t>
  </si>
  <si>
    <t>Höftbälte BP 4pM3 b40mm.Plastkn kpl</t>
  </si>
  <si>
    <t>Höftbälte BP 2pM36b40mm.T-knapp kpl</t>
  </si>
  <si>
    <t>Höftbälte BP 2pM46b40mm.T-knapp kpl</t>
  </si>
  <si>
    <t>Höftbälte BP 2pL62b50mm.T-knapp kpl</t>
  </si>
  <si>
    <t>Höftbälte BP 4p M36 b40mm kpl</t>
  </si>
  <si>
    <t>Höftbälte BP 4p M46 b40mm kpl</t>
  </si>
  <si>
    <t>Höftbälte BP 4p L62 b50mm kpl</t>
  </si>
  <si>
    <t>Bröstsele BP Stayflex XS kpl</t>
  </si>
  <si>
    <t>Bröstsele BP Stayflex S kpl</t>
  </si>
  <si>
    <t>Bröstsele BP Stayflex M kpl</t>
  </si>
  <si>
    <t>Bröstsele BP Pivofit XXS kpl</t>
  </si>
  <si>
    <t>Bröstsele BP Pivofit XS kpl</t>
  </si>
  <si>
    <t>Bröstsele BP Pivofit S kpl</t>
  </si>
  <si>
    <t>Bröstsele BP Pivofit M kpl</t>
  </si>
  <si>
    <t>Klämma för höftbälte B3/S3 par.</t>
  </si>
  <si>
    <t>Fästplåt höftbälte 25 mm. par</t>
  </si>
  <si>
    <t>Fästplåt höftbälte 40 mm. par</t>
  </si>
  <si>
    <t>Fästplåt höftbälte 50 mm.par</t>
  </si>
  <si>
    <t>G355</t>
  </si>
  <si>
    <t>Rullstol X3</t>
  </si>
  <si>
    <t>Rullstol U3 Light Y-front Hög 4˚</t>
  </si>
  <si>
    <t>Rullstol U3 Light Y-front Låg</t>
  </si>
  <si>
    <t>3302336</t>
  </si>
  <si>
    <r>
      <t xml:space="preserve">Sittbredd 33-50 cm, Sittdjup 45 cm. </t>
    </r>
    <r>
      <rPr>
        <b/>
        <sz val="8"/>
        <color rgb="FFC00000"/>
        <rFont val="Calibri"/>
        <family val="2"/>
        <scheme val="minor"/>
      </rPr>
      <t>Välj färg</t>
    </r>
    <r>
      <rPr>
        <sz val="8"/>
        <color rgb="FFC00000"/>
        <rFont val="Calibri"/>
        <family val="2"/>
        <scheme val="minor"/>
      </rPr>
      <t>!</t>
    </r>
    <r>
      <rPr>
        <sz val="8"/>
        <color theme="1"/>
        <rFont val="Calibri"/>
        <family val="2"/>
        <scheme val="minor"/>
      </rPr>
      <t xml:space="preserve"> </t>
    </r>
    <r>
      <rPr>
        <b/>
        <sz val="8"/>
        <color theme="1"/>
        <rFont val="Calibri"/>
        <family val="2"/>
        <scheme val="minor"/>
      </rPr>
      <t>Alla färger ingår i pris</t>
    </r>
  </si>
  <si>
    <r>
      <t xml:space="preserve">Sittbredd 33-50 cm, Sittdjup 35, 37.5, 40, 42.5 cm. </t>
    </r>
    <r>
      <rPr>
        <b/>
        <sz val="8"/>
        <color rgb="FFC00000"/>
        <rFont val="Calibri"/>
        <family val="2"/>
        <scheme val="minor"/>
      </rPr>
      <t>Välj färg</t>
    </r>
    <r>
      <rPr>
        <b/>
        <sz val="8"/>
        <color theme="1"/>
        <rFont val="Calibri"/>
        <family val="2"/>
        <scheme val="minor"/>
      </rPr>
      <t>! Alla färger ingår i pris</t>
    </r>
  </si>
  <si>
    <r>
      <t xml:space="preserve">Sittbredd 33-50 cm, Sitsdjup35, 37.5 cm (Sittbredd 50 cm ) 37.5 cm. </t>
    </r>
    <r>
      <rPr>
        <b/>
        <sz val="8"/>
        <color rgb="FFC00000"/>
        <rFont val="Calibri"/>
        <family val="2"/>
        <scheme val="minor"/>
      </rPr>
      <t xml:space="preserve">Välj färg! </t>
    </r>
  </si>
  <si>
    <t>UPP</t>
  </si>
  <si>
    <t>Swedish</t>
  </si>
  <si>
    <t>Bambino 3</t>
  </si>
  <si>
    <t>Bambino 3 modeller</t>
  </si>
  <si>
    <t>Bambino 3 models</t>
  </si>
  <si>
    <t>Micro 3 modeller</t>
  </si>
  <si>
    <t>Micro 3 models</t>
  </si>
  <si>
    <t>Compilation</t>
  </si>
  <si>
    <t>Beställningsguide Panthera Bambino 3 modeller</t>
  </si>
  <si>
    <t>startpage</t>
  </si>
  <si>
    <t>UP</t>
  </si>
  <si>
    <t>Art.nr. ändras  beronde på valen som görs i denna guide.</t>
  </si>
  <si>
    <t>Art.no. changes depending on the choices made in this form</t>
  </si>
  <si>
    <t>Adjusted by:</t>
  </si>
  <si>
    <t>E-mail</t>
  </si>
  <si>
    <t>Adjusted for:</t>
  </si>
  <si>
    <t>Date:</t>
  </si>
  <si>
    <t xml:space="preserve">Spara guiden till "skrivbordet" och öppna </t>
  </si>
  <si>
    <t>Save the form to he "desktop" and open it</t>
  </si>
  <si>
    <t>den med Excel. Bygg din rullstol genom att</t>
  </si>
  <si>
    <t xml:space="preserve">with Excel. Configure the wheelchair by </t>
  </si>
  <si>
    <t>clicking in the circles. Blue text are links</t>
  </si>
  <si>
    <t>en länk för att visa info eller bild</t>
  </si>
  <si>
    <t>to show info or images.</t>
  </si>
  <si>
    <t>BB = sittbredd, HH= ryggstödshöjd</t>
  </si>
  <si>
    <t>BB=seat width, HH=backrest height</t>
  </si>
  <si>
    <t>Bambino 3 Kort</t>
  </si>
  <si>
    <t xml:space="preserve">  Rensa</t>
  </si>
  <si>
    <t xml:space="preserve">  Clear</t>
  </si>
  <si>
    <r>
      <rPr>
        <b/>
        <i/>
        <sz val="12"/>
        <color rgb="FFC00000"/>
        <rFont val="Calibri"/>
        <family val="2"/>
        <scheme val="minor"/>
      </rPr>
      <t>2)</t>
    </r>
    <r>
      <rPr>
        <sz val="10"/>
        <color rgb="FFC00000"/>
        <rFont val="Calibri"/>
        <family val="2"/>
        <scheme val="minor"/>
      </rPr>
      <t xml:space="preserve"> </t>
    </r>
    <r>
      <rPr>
        <b/>
        <i/>
        <sz val="12"/>
        <rFont val="Calibri"/>
        <family val="2"/>
        <scheme val="minor"/>
      </rPr>
      <t>Chassis colour</t>
    </r>
  </si>
  <si>
    <t xml:space="preserve">         Tillvalsfärg</t>
  </si>
  <si>
    <t xml:space="preserve">         Optional colour</t>
  </si>
  <si>
    <t xml:space="preserve">En leveranstid på 20 dagar tillkommer för tillvalsfärg. </t>
  </si>
  <si>
    <t>A delivery time of 20 days for optional colour</t>
  </si>
  <si>
    <t>Fyll i art.nr. i rutan nedanför</t>
  </si>
  <si>
    <t>Fill in art.no. In the square below</t>
  </si>
  <si>
    <r>
      <rPr>
        <b/>
        <i/>
        <sz val="11"/>
        <color rgb="FFC00000"/>
        <rFont val="Calibri"/>
        <family val="2"/>
        <scheme val="minor"/>
      </rPr>
      <t>3)</t>
    </r>
    <r>
      <rPr>
        <b/>
        <i/>
        <sz val="11"/>
        <color theme="1"/>
        <rFont val="Calibri"/>
        <family val="2"/>
        <scheme val="minor"/>
      </rPr>
      <t xml:space="preserve"> Sittbredd </t>
    </r>
    <r>
      <rPr>
        <b/>
        <i/>
        <sz val="11"/>
        <color rgb="FFC00000"/>
        <rFont val="Calibri"/>
        <family val="2"/>
        <scheme val="minor"/>
      </rPr>
      <t>BB</t>
    </r>
  </si>
  <si>
    <r>
      <rPr>
        <b/>
        <i/>
        <sz val="11"/>
        <color rgb="FFC00000"/>
        <rFont val="Calibri"/>
        <family val="2"/>
        <scheme val="minor"/>
      </rPr>
      <t>3)</t>
    </r>
    <r>
      <rPr>
        <b/>
        <i/>
        <sz val="11"/>
        <color theme="1"/>
        <rFont val="Calibri"/>
        <family val="2"/>
        <scheme val="minor"/>
      </rPr>
      <t xml:space="preserve"> Seat width </t>
    </r>
    <r>
      <rPr>
        <b/>
        <i/>
        <sz val="11"/>
        <color rgb="FFC00000"/>
        <rFont val="Calibri"/>
        <family val="2"/>
        <scheme val="minor"/>
      </rPr>
      <t>BB</t>
    </r>
  </si>
  <si>
    <r>
      <rPr>
        <b/>
        <i/>
        <sz val="11"/>
        <color rgb="FFC00000"/>
        <rFont val="Calibri"/>
        <family val="2"/>
        <scheme val="minor"/>
      </rPr>
      <t>4)</t>
    </r>
    <r>
      <rPr>
        <b/>
        <i/>
        <sz val="11"/>
        <color theme="1"/>
        <rFont val="Calibri"/>
        <family val="2"/>
        <scheme val="minor"/>
      </rPr>
      <t xml:space="preserve"> Backrest - adjustable height</t>
    </r>
  </si>
  <si>
    <t xml:space="preserve">           Annan bakaxel</t>
  </si>
  <si>
    <t>eller sitthöjd</t>
  </si>
  <si>
    <t>6) Castor</t>
  </si>
  <si>
    <t>Vid 20" drivhjul behövs höjning</t>
  </si>
  <si>
    <t>With 20" rearwheel you need to raise</t>
  </si>
  <si>
    <t>av bakaxel med 10 mm</t>
  </si>
  <si>
    <t>the rear axle with 10 mm</t>
  </si>
  <si>
    <t xml:space="preserve">Standardval vid 20" drivhjul </t>
  </si>
  <si>
    <t xml:space="preserve">Standard at  20" rearwheel </t>
  </si>
  <si>
    <r>
      <rPr>
        <b/>
        <i/>
        <sz val="11"/>
        <color rgb="FFC00000"/>
        <rFont val="Calibri"/>
        <family val="2"/>
        <scheme val="minor"/>
      </rPr>
      <t xml:space="preserve">7) </t>
    </r>
    <r>
      <rPr>
        <b/>
        <i/>
        <sz val="11"/>
        <color theme="1"/>
        <rFont val="Calibri"/>
        <family val="2"/>
        <scheme val="minor"/>
      </rPr>
      <t>Footrest</t>
    </r>
  </si>
  <si>
    <r>
      <rPr>
        <b/>
        <i/>
        <sz val="11"/>
        <color rgb="FFC00000"/>
        <rFont val="Calibri"/>
        <family val="2"/>
        <scheme val="minor"/>
      </rPr>
      <t xml:space="preserve">8) </t>
    </r>
    <r>
      <rPr>
        <b/>
        <i/>
        <sz val="11"/>
        <color theme="1"/>
        <rFont val="Calibri"/>
        <family val="2"/>
        <scheme val="minor"/>
      </rPr>
      <t>Brake</t>
    </r>
  </si>
  <si>
    <t>Broms B3</t>
  </si>
  <si>
    <t>Brake B3</t>
  </si>
  <si>
    <t>One arm drive</t>
  </si>
  <si>
    <r>
      <rPr>
        <b/>
        <i/>
        <sz val="9"/>
        <color rgb="FFC00000"/>
        <rFont val="Calibri"/>
        <family val="2"/>
        <scheme val="minor"/>
      </rPr>
      <t xml:space="preserve">10) </t>
    </r>
    <r>
      <rPr>
        <b/>
        <i/>
        <sz val="9"/>
        <color theme="1"/>
        <rFont val="Calibri"/>
        <family val="2"/>
        <scheme val="minor"/>
      </rPr>
      <t>Push rim</t>
    </r>
  </si>
  <si>
    <t>Titanium</t>
  </si>
  <si>
    <t xml:space="preserve">        Paragrip</t>
  </si>
  <si>
    <t xml:space="preserve">       Tetragrip</t>
  </si>
  <si>
    <t xml:space="preserve">Maxgrepp </t>
  </si>
  <si>
    <t>Arm support</t>
  </si>
  <si>
    <t>Sidoskydd B3</t>
  </si>
  <si>
    <t>Side guard B3</t>
  </si>
  <si>
    <t>Vänster</t>
  </si>
  <si>
    <t>Left</t>
  </si>
  <si>
    <t>Höger</t>
  </si>
  <si>
    <t>Right</t>
  </si>
  <si>
    <t>Bålstöd B3</t>
  </si>
  <si>
    <t>Torso support B3</t>
  </si>
  <si>
    <t>Körbåge B3</t>
  </si>
  <si>
    <t>Backrest wedge</t>
  </si>
  <si>
    <t>Backrest angle</t>
  </si>
  <si>
    <t>Note  measure  (A) for desired backrest angle</t>
  </si>
  <si>
    <t>Compilation:</t>
  </si>
  <si>
    <t>Attachm plate cpl</t>
  </si>
  <si>
    <t>Clamp pair</t>
  </si>
  <si>
    <t>4-p late + clamp</t>
  </si>
  <si>
    <t>4-p with clamp</t>
  </si>
  <si>
    <t xml:space="preserve"> Magnetic holder for tray-table</t>
  </si>
  <si>
    <t>Djupposition:</t>
  </si>
  <si>
    <t>Depth position:</t>
  </si>
  <si>
    <t>Höjdposition:</t>
  </si>
  <si>
    <t>Height position:</t>
  </si>
  <si>
    <t>Transport marking:</t>
  </si>
  <si>
    <t>och/eller</t>
  </si>
  <si>
    <t>and / or</t>
  </si>
  <si>
    <t>Blå</t>
  </si>
  <si>
    <t>Blue</t>
  </si>
  <si>
    <t>20-28 Blå</t>
  </si>
  <si>
    <t>20-28 Blue</t>
  </si>
  <si>
    <t>20-28 Svart</t>
  </si>
  <si>
    <t>20-28 Black</t>
  </si>
  <si>
    <t>27-35 Blå</t>
  </si>
  <si>
    <t>27-35 Blue</t>
  </si>
  <si>
    <t>27-35 Svart</t>
  </si>
  <si>
    <t>27-35 Black</t>
  </si>
  <si>
    <t>Carbon 6gr</t>
  </si>
  <si>
    <t>Carbon 6gr +10 mm</t>
  </si>
  <si>
    <t>Fotplatta B3</t>
  </si>
  <si>
    <t>Bromsblad för PU däck</t>
  </si>
  <si>
    <t>Brake blade for PU tyre</t>
  </si>
  <si>
    <t>Assistans brake</t>
  </si>
  <si>
    <t>24" Std Tyre Right Run</t>
  </si>
  <si>
    <t>24" Std Tyre Marathon Plus</t>
  </si>
  <si>
    <t>24" Std Tyre rugged.</t>
  </si>
  <si>
    <t>24" Std Tyre PU-massive</t>
  </si>
  <si>
    <t>22" Std Tyre Right Run</t>
  </si>
  <si>
    <t>22" Std Tyre Marathon Plus</t>
  </si>
  <si>
    <t>22" Std Tyre PU-massive</t>
  </si>
  <si>
    <t>20" Std Däck Right Run</t>
  </si>
  <si>
    <t>20" Std Tyre Right Run</t>
  </si>
  <si>
    <t>20" Std Däck PU-massiva</t>
  </si>
  <si>
    <t>20" Std Tyre PU-massive</t>
  </si>
  <si>
    <r>
      <t xml:space="preserve">11) </t>
    </r>
    <r>
      <rPr>
        <b/>
        <i/>
        <sz val="12"/>
        <rFont val="Calibri"/>
        <family val="2"/>
        <scheme val="minor"/>
      </rPr>
      <t>Drivring</t>
    </r>
  </si>
  <si>
    <t>Maxgrepp</t>
  </si>
  <si>
    <t>Sittbreddsadapter Par</t>
  </si>
  <si>
    <t>Seat width adaptor Pair</t>
  </si>
  <si>
    <t>Sittbreddsadapter Vänster</t>
  </si>
  <si>
    <t>Seat  width adaptor  Left</t>
  </si>
  <si>
    <t>Sittbreddsadapter Höger</t>
  </si>
  <si>
    <t>Seat width adaptor Right</t>
  </si>
  <si>
    <t>VÄ smal</t>
  </si>
  <si>
    <t>L thin</t>
  </si>
  <si>
    <t>HÖ smal</t>
  </si>
  <si>
    <t>R thin</t>
  </si>
  <si>
    <t>VÄ std</t>
  </si>
  <si>
    <t>HÖ std</t>
  </si>
  <si>
    <t>Montering VÄ std</t>
  </si>
  <si>
    <t>Mounting Left std</t>
  </si>
  <si>
    <t>Montering HÖ std</t>
  </si>
  <si>
    <t>Mounting Right std</t>
  </si>
  <si>
    <t>Pushbar B3</t>
  </si>
  <si>
    <t>Huvudstöd B3 Blå</t>
  </si>
  <si>
    <t>Head support B3 Blue</t>
  </si>
  <si>
    <t>Huvudstöd B3 Svart</t>
  </si>
  <si>
    <t>Head support B3 Black</t>
  </si>
  <si>
    <t>Cushion 2.5 cm</t>
  </si>
  <si>
    <t>Cushion 5 cm</t>
  </si>
  <si>
    <t xml:space="preserve">Kildyna br </t>
  </si>
  <si>
    <t>Wedge cushion W</t>
  </si>
  <si>
    <t>Fästplåt höftbälte kpl</t>
  </si>
  <si>
    <t>Fäste höftbälte klämma par</t>
  </si>
  <si>
    <t>Fäste höftbälte 4-p plåt + klämma</t>
  </si>
  <si>
    <t>Fäste höftbälte 4-p med klämmor</t>
  </si>
  <si>
    <t>Spoke protector with logo</t>
  </si>
  <si>
    <t>Spoke protector without logo</t>
  </si>
  <si>
    <t>Spoke protector with  teme</t>
  </si>
  <si>
    <t>Ekerskydd Splash</t>
  </si>
  <si>
    <t>Spoke protector  Splash</t>
  </si>
  <si>
    <t>Ekerskydd Car rim</t>
  </si>
  <si>
    <t>Spoke protector Car rim</t>
  </si>
  <si>
    <t>Ekerskydd Wild animals</t>
  </si>
  <si>
    <t>Spoke protector Wild animals</t>
  </si>
  <si>
    <t>Ekerskydd Smiley</t>
  </si>
  <si>
    <t>Spoke protector Smiley</t>
  </si>
  <si>
    <t>Tube protection, front</t>
  </si>
  <si>
    <t>Tube protection, rear</t>
  </si>
  <si>
    <t>Bålstrap</t>
  </si>
  <si>
    <t>Torso strap</t>
  </si>
  <si>
    <t>Tray-table B3</t>
  </si>
  <si>
    <t>Freewheel-kit</t>
  </si>
  <si>
    <t>Magnetfäste för drivhjul</t>
  </si>
  <si>
    <t>JA</t>
  </si>
  <si>
    <t>YES</t>
  </si>
  <si>
    <t>2) Chassifärg</t>
  </si>
  <si>
    <t>2) Chassis colour</t>
  </si>
  <si>
    <t xml:space="preserve">   Settings</t>
  </si>
  <si>
    <t xml:space="preserve">  Extra</t>
  </si>
  <si>
    <t>Chassifärg:</t>
  </si>
  <si>
    <t>S 3</t>
  </si>
  <si>
    <t>U 3</t>
  </si>
  <si>
    <t>Beställningsguide Panthera S3 modeller</t>
  </si>
  <si>
    <t>en länk för att visa info eller bild.</t>
  </si>
  <si>
    <t>S3 har en justerbar bakaxel av kolfiber. För att hitta en balansering som passar dig så kan bakaxeln flyttas till olika lägen. Ange önskat mått</t>
  </si>
  <si>
    <t>under "Inställningar". S3 har sitthöjd 47 cm fram och 43 bak, utan dyna. För att justera sitthöjden kan andra storlekar av drivhjul eller ett förhöjningskit</t>
  </si>
  <si>
    <r>
      <t xml:space="preserve">och passande framgaffel väljas.         </t>
    </r>
    <r>
      <rPr>
        <b/>
        <sz val="11"/>
        <color rgb="FF000000"/>
        <rFont val="Calibri"/>
        <family val="2"/>
        <scheme val="minor"/>
      </rPr>
      <t>Max brukarvikt är 100 kg för sittbredd 33-42 och 150kg för sittbredd 45-50 cm</t>
    </r>
  </si>
  <si>
    <r>
      <rPr>
        <b/>
        <i/>
        <sz val="11"/>
        <color rgb="FFC00000"/>
        <rFont val="Calibri"/>
        <family val="2"/>
        <scheme val="minor"/>
      </rPr>
      <t>1)</t>
    </r>
    <r>
      <rPr>
        <sz val="11"/>
        <color rgb="FFC00000"/>
        <rFont val="Calibri"/>
        <family val="2"/>
        <scheme val="minor"/>
      </rPr>
      <t xml:space="preserve"> </t>
    </r>
    <r>
      <rPr>
        <sz val="11"/>
        <rFont val="Calibri"/>
        <family val="2"/>
        <scheme val="minor"/>
      </rPr>
      <t>S</t>
    </r>
    <r>
      <rPr>
        <b/>
        <i/>
        <sz val="11"/>
        <rFont val="Calibri"/>
        <family val="2"/>
        <scheme val="minor"/>
      </rPr>
      <t>3 modeller</t>
    </r>
  </si>
  <si>
    <t>Weight:</t>
  </si>
  <si>
    <t xml:space="preserve">                  Gulmarkering indikerar 20 dagars lev.tid.</t>
  </si>
  <si>
    <r>
      <rPr>
        <b/>
        <sz val="11"/>
        <color theme="1"/>
        <rFont val="Calibri"/>
        <family val="2"/>
        <scheme val="minor"/>
      </rPr>
      <t>Svart</t>
    </r>
    <r>
      <rPr>
        <sz val="11"/>
        <color theme="1"/>
        <rFont val="Calibri"/>
        <family val="2"/>
        <scheme val="minor"/>
      </rPr>
      <t xml:space="preserve"> - Anodic Black</t>
    </r>
  </si>
  <si>
    <r>
      <rPr>
        <b/>
        <sz val="11"/>
        <color theme="1"/>
        <rFont val="Calibri"/>
        <family val="2"/>
        <scheme val="minor"/>
      </rPr>
      <t>Grå</t>
    </r>
    <r>
      <rPr>
        <sz val="11"/>
        <color theme="1"/>
        <rFont val="Calibri"/>
        <family val="2"/>
        <scheme val="minor"/>
      </rPr>
      <t xml:space="preserve"> - Gray Metallic</t>
    </r>
  </si>
  <si>
    <t xml:space="preserve">           45 cm</t>
  </si>
  <si>
    <t xml:space="preserve">     Möjlig sittbredd:</t>
  </si>
  <si>
    <t xml:space="preserve">        Bakåbockad **</t>
  </si>
  <si>
    <t xml:space="preserve">        För fasta ryggsystem ***</t>
  </si>
  <si>
    <t xml:space="preserve">              Insvängd 6 cm *</t>
  </si>
  <si>
    <t xml:space="preserve">                 Utsvängd 3 cm **</t>
  </si>
  <si>
    <r>
      <rPr>
        <sz val="11"/>
        <color rgb="FFC00000"/>
        <rFont val="Calibri"/>
        <family val="2"/>
        <scheme val="minor"/>
      </rPr>
      <t>BB</t>
    </r>
    <r>
      <rPr>
        <sz val="11"/>
        <color theme="1"/>
        <rFont val="Calibri"/>
        <family val="2"/>
        <scheme val="minor"/>
      </rPr>
      <t xml:space="preserve"> = sittbredd, </t>
    </r>
    <r>
      <rPr>
        <sz val="11"/>
        <color rgb="FF0070C0"/>
        <rFont val="Calibri"/>
        <family val="2"/>
        <scheme val="minor"/>
      </rPr>
      <t>HH</t>
    </r>
    <r>
      <rPr>
        <sz val="11"/>
        <color theme="1"/>
        <rFont val="Calibri"/>
        <family val="2"/>
        <scheme val="minor"/>
      </rPr>
      <t>= ryggstödshöjd</t>
    </r>
  </si>
  <si>
    <t xml:space="preserve">        Insvängd *</t>
  </si>
  <si>
    <t xml:space="preserve">                 Bakåtbockad-insvängd***</t>
  </si>
  <si>
    <t xml:space="preserve">      Carbon +15 mm</t>
  </si>
  <si>
    <t>Denna bakaxel används om man väljer till</t>
  </si>
  <si>
    <t>armstöd under Tillbehör och/eller val av ökad sitthöjd</t>
  </si>
  <si>
    <t xml:space="preserve">       Titan, förlängd, förstärkt *</t>
  </si>
  <si>
    <t xml:space="preserve">       Fällbara fotplattor</t>
  </si>
  <si>
    <t xml:space="preserve">           Hälband för fotplattor</t>
  </si>
  <si>
    <t xml:space="preserve">          Plastplatta för fotbåge</t>
  </si>
  <si>
    <t xml:space="preserve">                   Fotplatta Carbon</t>
  </si>
  <si>
    <t>* std för S3 Large</t>
  </si>
  <si>
    <t xml:space="preserve">         Enhandsbroms. Höger</t>
  </si>
  <si>
    <t xml:space="preserve">         Enhandsbroms, vänster</t>
  </si>
  <si>
    <t>Skriv in art.nr:</t>
  </si>
  <si>
    <r>
      <rPr>
        <b/>
        <i/>
        <sz val="11"/>
        <color rgb="FFC00000"/>
        <rFont val="Calibri"/>
        <family val="2"/>
        <scheme val="minor"/>
      </rPr>
      <t xml:space="preserve">9) </t>
    </r>
    <r>
      <rPr>
        <b/>
        <i/>
        <sz val="11"/>
        <color theme="1"/>
        <rFont val="Calibri"/>
        <family val="2"/>
        <scheme val="minor"/>
      </rPr>
      <t>Fotstöd</t>
    </r>
  </si>
  <si>
    <t xml:space="preserve">                Vårdarbroms</t>
  </si>
  <si>
    <t>24" Std</t>
  </si>
  <si>
    <t xml:space="preserve">                       Enhandsdrift</t>
  </si>
  <si>
    <r>
      <rPr>
        <b/>
        <i/>
        <sz val="9"/>
        <color rgb="FFC00000"/>
        <rFont val="Calibri"/>
        <family val="2"/>
        <scheme val="minor"/>
      </rPr>
      <t xml:space="preserve">12) </t>
    </r>
    <r>
      <rPr>
        <b/>
        <i/>
        <sz val="9"/>
        <color theme="1"/>
        <rFont val="Calibri"/>
        <family val="2"/>
        <scheme val="minor"/>
      </rPr>
      <t>Drivring</t>
    </r>
  </si>
  <si>
    <t>Höj / sänkbara S3+10cm</t>
  </si>
  <si>
    <t xml:space="preserve">           Med logga</t>
  </si>
  <si>
    <t xml:space="preserve">            Utan logga</t>
  </si>
  <si>
    <t>9900251 (2st)</t>
  </si>
  <si>
    <r>
      <t>9900301 (</t>
    </r>
    <r>
      <rPr>
        <b/>
        <sz val="8"/>
        <color rgb="FFC00000"/>
        <rFont val="Calibri"/>
        <family val="2"/>
        <scheme val="minor"/>
      </rPr>
      <t>x1/krycka</t>
    </r>
    <r>
      <rPr>
        <b/>
        <sz val="8"/>
        <color theme="1"/>
        <rFont val="Calibri"/>
        <family val="2"/>
        <scheme val="minor"/>
      </rPr>
      <t>)</t>
    </r>
  </si>
  <si>
    <t xml:space="preserve"> -  Fotplattor</t>
  </si>
  <si>
    <t>2) Färg:</t>
  </si>
  <si>
    <t>3) Sittbredd:</t>
  </si>
  <si>
    <t>4) Sittdjup:</t>
  </si>
  <si>
    <t>5) Ryggstöd:</t>
  </si>
  <si>
    <t xml:space="preserve">  6) Ryggstödshöjd:</t>
  </si>
  <si>
    <t>7) Bakaxel:</t>
  </si>
  <si>
    <t>8) Länkhjul:</t>
  </si>
  <si>
    <t>9) Fotstöd;</t>
  </si>
  <si>
    <t xml:space="preserve">  90 mm</t>
  </si>
  <si>
    <t>Beställningsguide Panthera U3 modeller</t>
  </si>
  <si>
    <t>U3 har en justerbar bakaxel av kolfiber. För att hitta en balansering som passar dig så kan bakaxeln flyttas till olika lägen. Ange önskat mått</t>
  </si>
  <si>
    <t>under "Inställningar". U3 har sitthöjd 47 cm fram och 43 bak, utan dyna. För att justera sitthöjden kan andra storlekar av drivhjul</t>
  </si>
  <si>
    <t>eller ett förhöjningskit och passande framgaffel väljas.        Max brukarvikt är 100 kg för sittbredd 33-42 och 150kg för sittbredd 45 cm.</t>
  </si>
  <si>
    <r>
      <rPr>
        <b/>
        <i/>
        <sz val="12"/>
        <color rgb="FFC00000"/>
        <rFont val="Calibri"/>
        <family val="2"/>
        <scheme val="minor"/>
      </rPr>
      <t>1)</t>
    </r>
    <r>
      <rPr>
        <sz val="10"/>
        <color rgb="FFC00000"/>
        <rFont val="Calibri"/>
        <family val="2"/>
        <scheme val="minor"/>
      </rPr>
      <t xml:space="preserve"> </t>
    </r>
    <r>
      <rPr>
        <b/>
        <i/>
        <sz val="12"/>
        <rFont val="Calibri"/>
        <family val="2"/>
        <scheme val="minor"/>
      </rPr>
      <t>U3 modeller</t>
    </r>
  </si>
  <si>
    <t xml:space="preserve">  U3</t>
  </si>
  <si>
    <t xml:space="preserve">  U3 Y-Front</t>
  </si>
  <si>
    <t xml:space="preserve">  U3 Y-Front Kort</t>
  </si>
  <si>
    <t xml:space="preserve">  U3 Y-Front Låg</t>
  </si>
  <si>
    <t>Clear</t>
  </si>
  <si>
    <t>Svart - Anodic Black</t>
  </si>
  <si>
    <t>Grå - Gray Metallic</t>
  </si>
  <si>
    <t>4) Sittdjup</t>
  </si>
  <si>
    <t>Möjligt sitsdjup:</t>
  </si>
  <si>
    <t xml:space="preserve">        Bakåtbockad **</t>
  </si>
  <si>
    <t xml:space="preserve">       För fasta ryggsystem ***</t>
  </si>
  <si>
    <t xml:space="preserve">                Insvängd 6 cm *</t>
  </si>
  <si>
    <t xml:space="preserve">                   Utsvängd 3 cm **</t>
  </si>
  <si>
    <t xml:space="preserve">                  Bakåtbockad-insvängd***</t>
  </si>
  <si>
    <r>
      <rPr>
        <b/>
        <i/>
        <sz val="12"/>
        <color rgb="FFC00000"/>
        <rFont val="Calibri"/>
        <family val="2"/>
        <scheme val="minor"/>
      </rPr>
      <t xml:space="preserve">9) </t>
    </r>
    <r>
      <rPr>
        <b/>
        <i/>
        <sz val="12"/>
        <color theme="1"/>
        <rFont val="Calibri"/>
        <family val="2"/>
        <scheme val="minor"/>
      </rPr>
      <t>Footrest</t>
    </r>
  </si>
  <si>
    <t xml:space="preserve">                   Fotplatta  Carbon</t>
  </si>
  <si>
    <t xml:space="preserve">   S3 Standard</t>
  </si>
  <si>
    <t xml:space="preserve">        Enhandsbroms, höger</t>
  </si>
  <si>
    <t xml:space="preserve">        Enhandsbroms, vänster</t>
  </si>
  <si>
    <t xml:space="preserve">             Vårdarbroms</t>
  </si>
  <si>
    <t>Fyll i önskat art.nr:</t>
  </si>
  <si>
    <t xml:space="preserve"> Drivhjul 24"x2" MTB</t>
  </si>
  <si>
    <t xml:space="preserve">      Paragrip</t>
  </si>
  <si>
    <t>Maxgrepp 24"</t>
  </si>
  <si>
    <t>Höj / sänkbara S3+10 cm</t>
  </si>
  <si>
    <t xml:space="preserve">         Dyna </t>
  </si>
  <si>
    <t>Rörskydd front (chassirör)</t>
  </si>
  <si>
    <t>Rörskydd bak (ryggstödsbåge)</t>
  </si>
  <si>
    <t>9900301 (x1/crutch)</t>
  </si>
  <si>
    <t xml:space="preserve">     Bord S3</t>
  </si>
  <si>
    <t xml:space="preserve">22" eller 24" </t>
  </si>
  <si>
    <t xml:space="preserve"> -    Fotplattor</t>
  </si>
  <si>
    <t xml:space="preserve">          JA märk upp stolen med fästpunkter för transport i färdtjänstfordon.</t>
  </si>
  <si>
    <t>Inställningar</t>
  </si>
  <si>
    <t>Enhandsbroms, höger</t>
  </si>
  <si>
    <t>Enhandsbroms, vänster</t>
  </si>
  <si>
    <t xml:space="preserve">Titan U-form </t>
  </si>
  <si>
    <t xml:space="preserve">       Titan, förlängd, förstärkt</t>
  </si>
  <si>
    <t>Art.no. -B</t>
  </si>
  <si>
    <t>39B</t>
  </si>
  <si>
    <t>42B</t>
  </si>
  <si>
    <t>45B</t>
  </si>
  <si>
    <t>Weights</t>
  </si>
  <si>
    <t xml:space="preserve"> Insvängd</t>
  </si>
  <si>
    <t>För fasta ryggsystem</t>
  </si>
  <si>
    <t>Bakåtbockad-insvängd</t>
  </si>
  <si>
    <t>NEJ</t>
  </si>
  <si>
    <t>NO</t>
  </si>
  <si>
    <t>weight:</t>
  </si>
  <si>
    <t>E-mail:</t>
  </si>
  <si>
    <t xml:space="preserve">                Yellow indicates 20 days delivery time.</t>
  </si>
  <si>
    <t>Order form Panthera U3 models</t>
  </si>
  <si>
    <t>U3 has a ajustable rear axle in carbon fibre. To find a balance that suits you the rear axle can be adjusted into different positions.</t>
  </si>
  <si>
    <t>or a raising Kit with suitable castor fork from the List of options. Max userweight: 100 kg for seat width 33-42 and 150kg for seat width 45 cm</t>
  </si>
  <si>
    <t>Note the measure at "Settings". The seat height is 47 cm in the front and 43 at the rear, without cushion. To adjust the seat height you can chose other rearwheel sizes</t>
  </si>
  <si>
    <t xml:space="preserve">  U3 Y-Front Short</t>
  </si>
  <si>
    <t xml:space="preserve">  U3 Y-Front Low</t>
  </si>
  <si>
    <t>Seat width 33-45 cm, Seat depth 40 cm</t>
  </si>
  <si>
    <t>Seat width 33-50 cm, Seat depth35, 37.5, 40, 42.5 cm</t>
  </si>
  <si>
    <t>Black - Anodic Black</t>
  </si>
  <si>
    <t>Gray - Gray Metallic</t>
  </si>
  <si>
    <t>Possible seat width:</t>
  </si>
  <si>
    <t>4) Seat depth</t>
  </si>
  <si>
    <t>Possible seat depth:</t>
  </si>
  <si>
    <r>
      <rPr>
        <b/>
        <i/>
        <sz val="12"/>
        <color rgb="FFC00000"/>
        <rFont val="Calibri"/>
        <family val="2"/>
        <scheme val="minor"/>
      </rPr>
      <t xml:space="preserve">5) </t>
    </r>
    <r>
      <rPr>
        <b/>
        <i/>
        <sz val="12"/>
        <color theme="1"/>
        <rFont val="Calibri"/>
        <family val="2"/>
        <scheme val="minor"/>
      </rPr>
      <t>Backrest</t>
    </r>
  </si>
  <si>
    <t>SWING</t>
  </si>
  <si>
    <t>Beställningsguide Panthera S3 Swing modeller</t>
  </si>
  <si>
    <t>S3 Swing har delade, undanfällbara benstöd och en justerbar bakaxel av kolfiber. För att hitta en balansering som passar dig kan bakaxeln flyttas till olika lägen.</t>
  </si>
  <si>
    <t>Ange önskat mått under "Inställningar". S3 Swing har sitthöjd 45 cm fram och 43 bak, utan dyna. För att justera sitthöjden kan andra storlekar av drivhjul eller ett förhöjningskit</t>
  </si>
  <si>
    <t>och passande framgaffel väljas från tillvalslistan.            Max brukarvikt är 100 kg för sittbredd 36-42 och 150kg för sittbredd 45-50 cm</t>
  </si>
  <si>
    <t>S3 Swing Short</t>
  </si>
  <si>
    <t>S3 Swing Low 0°</t>
  </si>
  <si>
    <t>S3 Swing Long</t>
  </si>
  <si>
    <t>1) S3 Swing modell</t>
  </si>
  <si>
    <r>
      <t xml:space="preserve">- </t>
    </r>
    <r>
      <rPr>
        <sz val="11"/>
        <color rgb="FF000000"/>
        <rFont val="Calibri"/>
        <family val="2"/>
        <scheme val="minor"/>
      </rPr>
      <t xml:space="preserve">En leveranstid på 20 dagar tillkommer för tillvalsfärg. </t>
    </r>
  </si>
  <si>
    <t xml:space="preserve">            Tillvalsfärg</t>
  </si>
  <si>
    <t>3) Seat width BB</t>
  </si>
  <si>
    <r>
      <rPr>
        <b/>
        <i/>
        <sz val="12"/>
        <color rgb="FFC00000"/>
        <rFont val="Calibri"/>
        <family val="2"/>
        <scheme val="minor"/>
      </rPr>
      <t>3)</t>
    </r>
    <r>
      <rPr>
        <sz val="11"/>
        <color theme="1"/>
        <rFont val="Calibri"/>
        <family val="2"/>
        <scheme val="minor"/>
      </rPr>
      <t xml:space="preserve"> </t>
    </r>
    <r>
      <rPr>
        <b/>
        <i/>
        <sz val="11"/>
        <color theme="1"/>
        <rFont val="Calibri"/>
        <family val="2"/>
        <scheme val="minor"/>
      </rPr>
      <t>Sittbredd BB</t>
    </r>
  </si>
  <si>
    <t xml:space="preserve">       Bakåtbockad **</t>
  </si>
  <si>
    <t xml:space="preserve">       För fast ryggsystem***</t>
  </si>
  <si>
    <t xml:space="preserve">                 Insvängd 6 cm *</t>
  </si>
  <si>
    <t xml:space="preserve">                    Utsvängd 3 cm **</t>
  </si>
  <si>
    <r>
      <rPr>
        <b/>
        <i/>
        <sz val="12"/>
        <color rgb="FFC00000"/>
        <rFont val="Calibri"/>
        <family val="2"/>
        <scheme val="minor"/>
      </rPr>
      <t xml:space="preserve">6) </t>
    </r>
    <r>
      <rPr>
        <b/>
        <i/>
        <sz val="12"/>
        <color theme="1"/>
        <rFont val="Calibri"/>
        <family val="2"/>
        <scheme val="minor"/>
      </rPr>
      <t xml:space="preserve">Ryggstödshöjd  </t>
    </r>
    <r>
      <rPr>
        <b/>
        <i/>
        <sz val="12"/>
        <color rgb="FF0070C0"/>
        <rFont val="Calibri"/>
        <family val="2"/>
        <scheme val="minor"/>
      </rPr>
      <t>HH</t>
    </r>
  </si>
  <si>
    <r>
      <t xml:space="preserve">6) </t>
    </r>
    <r>
      <rPr>
        <b/>
        <i/>
        <sz val="12"/>
        <color theme="1"/>
        <rFont val="Calibri"/>
        <family val="2"/>
        <scheme val="minor"/>
      </rPr>
      <t xml:space="preserve">Ryggstödshöjd  </t>
    </r>
    <r>
      <rPr>
        <b/>
        <i/>
        <sz val="12"/>
        <color rgb="FF0070C0"/>
        <rFont val="Calibri"/>
        <family val="2"/>
        <scheme val="minor"/>
      </rPr>
      <t>HH</t>
    </r>
  </si>
  <si>
    <t xml:space="preserve">Denna bakaxel används om man väljer till armstöd under </t>
  </si>
  <si>
    <t>Tillbehör och/eller val av ökad sitthöjd</t>
  </si>
  <si>
    <t xml:space="preserve">            Annan bakaxel</t>
  </si>
  <si>
    <t xml:space="preserve">       Stora fotplattor</t>
  </si>
  <si>
    <t xml:space="preserve">         Hälband för fotplattor</t>
  </si>
  <si>
    <t xml:space="preserve">    Förlängda rör 40 mm</t>
  </si>
  <si>
    <t xml:space="preserve">        Vårdarbroms</t>
  </si>
  <si>
    <r>
      <rPr>
        <b/>
        <i/>
        <sz val="12"/>
        <color rgb="FFC00000"/>
        <rFont val="Calibri"/>
        <family val="2"/>
        <scheme val="minor"/>
      </rPr>
      <t>6)</t>
    </r>
    <r>
      <rPr>
        <b/>
        <i/>
        <sz val="12"/>
        <color theme="1"/>
        <rFont val="Calibri"/>
        <family val="2"/>
        <scheme val="minor"/>
      </rPr>
      <t xml:space="preserve"> </t>
    </r>
    <r>
      <rPr>
        <b/>
        <i/>
        <sz val="12"/>
        <rFont val="Calibri"/>
        <family val="2"/>
        <scheme val="minor"/>
      </rPr>
      <t>Ryggstödshöjd HH</t>
    </r>
  </si>
  <si>
    <r>
      <rPr>
        <b/>
        <i/>
        <sz val="11"/>
        <color rgb="FFC00000"/>
        <rFont val="Calibri"/>
        <family val="2"/>
        <scheme val="minor"/>
      </rPr>
      <t>8)</t>
    </r>
    <r>
      <rPr>
        <b/>
        <i/>
        <sz val="11"/>
        <color theme="1"/>
        <rFont val="Calibri"/>
        <family val="2"/>
        <scheme val="minor"/>
      </rPr>
      <t xml:space="preserve"> Länkhjul</t>
    </r>
  </si>
  <si>
    <t xml:space="preserve">                      Enhandsdrift</t>
  </si>
  <si>
    <t xml:space="preserve">    Drivhjul 24x2" MTB</t>
  </si>
  <si>
    <t xml:space="preserve">              Dyna</t>
  </si>
  <si>
    <t xml:space="preserve">       reTyre Traction</t>
  </si>
  <si>
    <t>22" och 24"</t>
  </si>
  <si>
    <t>Bord</t>
  </si>
  <si>
    <t>24", 25" och 26"</t>
  </si>
  <si>
    <t>9) Fottsöd;</t>
  </si>
  <si>
    <t>Weight Swing</t>
  </si>
  <si>
    <t>Order form for Panthera S3 models</t>
  </si>
  <si>
    <t>Order form Panthera Bambino 3 models</t>
  </si>
  <si>
    <t>S3 Long</t>
  </si>
  <si>
    <t>S3 Short</t>
  </si>
  <si>
    <t>S3 Short Abd</t>
  </si>
  <si>
    <t>S3 Short Low</t>
  </si>
  <si>
    <t>1) S3 models</t>
  </si>
  <si>
    <t>Seat width:</t>
  </si>
  <si>
    <t>3) Seat width:</t>
  </si>
  <si>
    <t>Seat width 33-50 cm, Seat depth 40 cm</t>
  </si>
  <si>
    <t>Seat width 30-45 cm, Seat depth 27-33 cm (Seat width 30-33), 35 cm (Seat width 36-45)</t>
  </si>
  <si>
    <t>Seat width 33-39 cm, Seat depth 35 cm</t>
  </si>
  <si>
    <t>Seat width 39-50 cm, Seat depth 45 cm</t>
  </si>
  <si>
    <t>Seat width 27-33 cm, Seat depth 27-33 cm</t>
  </si>
  <si>
    <t>4) Seat depth:</t>
  </si>
  <si>
    <t xml:space="preserve">     Possible Seat width:</t>
  </si>
  <si>
    <t xml:space="preserve">       Possible Seat width:</t>
  </si>
  <si>
    <t xml:space="preserve">       Possiblet sitsdjup:</t>
  </si>
  <si>
    <t xml:space="preserve">         Tapered *</t>
  </si>
  <si>
    <t xml:space="preserve">              Tapered 6 cm *</t>
  </si>
  <si>
    <t>Körhandtag</t>
  </si>
  <si>
    <t>Max. brukarvikt 100 kg</t>
  </si>
  <si>
    <t>Dyna</t>
  </si>
  <si>
    <t xml:space="preserve">            Med logga</t>
  </si>
  <si>
    <t>9900251 (1 st)</t>
  </si>
  <si>
    <t xml:space="preserve">      Bord S3</t>
  </si>
  <si>
    <t xml:space="preserve">         reTyre</t>
  </si>
  <si>
    <t>Ange måttet (A) och / eller (B) för önskat fotstöd</t>
  </si>
  <si>
    <t>1) Rullstolsmodell:</t>
  </si>
  <si>
    <t>2) Chassifärg:</t>
  </si>
  <si>
    <t>4) Sitsdjup:</t>
  </si>
  <si>
    <t xml:space="preserve">klicka i cirklarna. Blå, fet text är </t>
  </si>
  <si>
    <t xml:space="preserve">     Möjlig sittdjup:</t>
  </si>
  <si>
    <t>DIA.</t>
  </si>
  <si>
    <t>Fasta ryggsystem</t>
  </si>
  <si>
    <t>Bakåtb.-insvängd</t>
  </si>
  <si>
    <t>Övriga länkhjul</t>
  </si>
  <si>
    <t>Stora fotplattor</t>
  </si>
  <si>
    <t>Förlängda rör</t>
  </si>
  <si>
    <r>
      <t xml:space="preserve">10) </t>
    </r>
    <r>
      <rPr>
        <b/>
        <i/>
        <sz val="12"/>
        <rFont val="Calibri"/>
        <family val="2"/>
        <scheme val="minor"/>
      </rPr>
      <t>Broms</t>
    </r>
  </si>
  <si>
    <t>(Ev.ryggklädsel)</t>
  </si>
  <si>
    <t>(Ev. Upholstery)</t>
  </si>
  <si>
    <t>S3 has an adjustable rear axle in carbon fibre. To find your balance you can place the rear axle in different positions. Note desired measure.</t>
  </si>
  <si>
    <r>
      <t xml:space="preserve">and castor fork.         </t>
    </r>
    <r>
      <rPr>
        <b/>
        <sz val="11"/>
        <color rgb="FF000000"/>
        <rFont val="Calibri"/>
        <family val="2"/>
        <scheme val="minor"/>
      </rPr>
      <t>Max userweight is 100 kg for seatwidth 33-42 and 150kg for seatwidth 45-50 cm</t>
    </r>
  </si>
  <si>
    <t xml:space="preserve">     Possible Seat depth:</t>
  </si>
  <si>
    <t>Pris:</t>
  </si>
  <si>
    <t>Price:</t>
  </si>
  <si>
    <t>krkr</t>
  </si>
  <si>
    <t>X2</t>
  </si>
  <si>
    <t>x1</t>
  </si>
  <si>
    <t>Art.no. &amp; price changes depending on choices made in this form</t>
  </si>
  <si>
    <t>Art.nr &amp; vikt ändras beronde på valen som görs i guiden.</t>
  </si>
  <si>
    <r>
      <t xml:space="preserve">Seat width 33-50 cm, Seat depth 35, 37.5, 40, 42.5 cm. </t>
    </r>
    <r>
      <rPr>
        <sz val="8"/>
        <color theme="1"/>
        <rFont val="Calibri"/>
        <family val="2"/>
        <scheme val="minor"/>
      </rPr>
      <t>Select colour! All colours are included in the price.</t>
    </r>
  </si>
  <si>
    <r>
      <t xml:space="preserve">Seat width 33-50 cm, Seat depth 45 cm. </t>
    </r>
    <r>
      <rPr>
        <sz val="8"/>
        <color theme="1"/>
        <rFont val="Calibri"/>
        <family val="2"/>
        <scheme val="minor"/>
      </rPr>
      <t>Select colour! All colours are included in the price.</t>
    </r>
  </si>
  <si>
    <r>
      <rPr>
        <b/>
        <sz val="11"/>
        <color theme="1"/>
        <rFont val="Calibri"/>
        <family val="2"/>
        <scheme val="minor"/>
      </rPr>
      <t>Black</t>
    </r>
    <r>
      <rPr>
        <sz val="11"/>
        <color theme="1"/>
        <rFont val="Calibri"/>
        <family val="2"/>
        <scheme val="minor"/>
      </rPr>
      <t xml:space="preserve"> - Anodic Black</t>
    </r>
  </si>
  <si>
    <r>
      <rPr>
        <b/>
        <sz val="11"/>
        <color theme="1"/>
        <rFont val="Calibri"/>
        <family val="2"/>
        <scheme val="minor"/>
      </rPr>
      <t>Gray</t>
    </r>
    <r>
      <rPr>
        <sz val="11"/>
        <color theme="1"/>
        <rFont val="Calibri"/>
        <family val="2"/>
        <scheme val="minor"/>
      </rPr>
      <t xml:space="preserve"> - Gray Metallic</t>
    </r>
  </si>
  <si>
    <t>weight</t>
  </si>
  <si>
    <t>Name: Häl</t>
  </si>
  <si>
    <t>Name; Brake</t>
  </si>
  <si>
    <t>Beta</t>
  </si>
  <si>
    <t xml:space="preserve">        Curved back **</t>
  </si>
  <si>
    <t xml:space="preserve">        For fixed backrest ***</t>
  </si>
  <si>
    <t xml:space="preserve">                 Flared 3 cm **</t>
  </si>
  <si>
    <t xml:space="preserve">                 Curved-Tapered***</t>
  </si>
  <si>
    <t>upholstery</t>
  </si>
  <si>
    <t>6) Backrest height HH</t>
  </si>
  <si>
    <t>7) Rear axle</t>
  </si>
  <si>
    <t xml:space="preserve">           Other rear axle</t>
  </si>
  <si>
    <t>or seat height</t>
  </si>
  <si>
    <t>This rear axle is used for when selecting</t>
  </si>
  <si>
    <t>Titanium U-shaped small heelbar</t>
  </si>
  <si>
    <t xml:space="preserve">       Titanium, extended, reinforc. *</t>
  </si>
  <si>
    <t xml:space="preserve">       Foldable footplates</t>
  </si>
  <si>
    <t xml:space="preserve">           Heelstraps for footplates</t>
  </si>
  <si>
    <t xml:space="preserve">          Plastic plate for footbow</t>
  </si>
  <si>
    <t xml:space="preserve">                   Footplate Carbon</t>
  </si>
  <si>
    <t>(width 33)</t>
  </si>
  <si>
    <t>* std for S3 Large</t>
  </si>
  <si>
    <t xml:space="preserve">         One armbrake. Right</t>
  </si>
  <si>
    <t xml:space="preserve">         One armbrake. Left</t>
  </si>
  <si>
    <t>Enter  art.no:</t>
  </si>
  <si>
    <t>Tyre Right Run</t>
  </si>
  <si>
    <t>Tyre Marathon Plus</t>
  </si>
  <si>
    <t>Tyre rugged</t>
  </si>
  <si>
    <t>Tyre PU massive</t>
  </si>
  <si>
    <t xml:space="preserve">       25"  Spinergy X Black</t>
  </si>
  <si>
    <t xml:space="preserve">       26"  Spinergy X Black</t>
  </si>
  <si>
    <t xml:space="preserve">       25"  Spinergy X White</t>
  </si>
  <si>
    <t xml:space="preserve">       26"  Spinergy X White</t>
  </si>
  <si>
    <t xml:space="preserve">                       Onearm drive</t>
  </si>
  <si>
    <t xml:space="preserve"> Rearwheel 24"x2" MTB</t>
  </si>
  <si>
    <t>Titanium pushrim</t>
  </si>
  <si>
    <t>English  (use the same cell  format)</t>
  </si>
  <si>
    <t xml:space="preserve">Maxgrip </t>
  </si>
  <si>
    <t>(contains latex)</t>
  </si>
  <si>
    <t>Aluminum</t>
  </si>
  <si>
    <t>Side guard</t>
  </si>
  <si>
    <t>Armrest</t>
  </si>
  <si>
    <t>Sideguard Carbon</t>
  </si>
  <si>
    <t>No cover</t>
  </si>
  <si>
    <t>Small cover skärm</t>
  </si>
  <si>
    <t>Large cover</t>
  </si>
  <si>
    <t>Sideguard S3</t>
  </si>
  <si>
    <t>Armrest S3</t>
  </si>
  <si>
    <t>Pushhandle</t>
  </si>
  <si>
    <t>Pushhandle Foldable</t>
  </si>
  <si>
    <t>Max. userweight 100 kg</t>
  </si>
  <si>
    <t>Tube protec. front (frame)</t>
  </si>
  <si>
    <t>Height adjustable S3+10cm</t>
  </si>
  <si>
    <t>Tube protec. rear (back bow)</t>
  </si>
  <si>
    <t>Pushbar S3</t>
  </si>
  <si>
    <t>Crutch holder S3</t>
  </si>
  <si>
    <t>Anti-tip</t>
  </si>
  <si>
    <t>Back wedge</t>
  </si>
  <si>
    <t>Cushion</t>
  </si>
  <si>
    <t>Spoke protec.</t>
  </si>
  <si>
    <t>Rear more about Freewheel on home page</t>
  </si>
  <si>
    <t xml:space="preserve">            With logo</t>
  </si>
  <si>
    <t xml:space="preserve">            No logo</t>
  </si>
  <si>
    <t>Table</t>
  </si>
  <si>
    <t xml:space="preserve">      Table S3</t>
  </si>
  <si>
    <t>Select art.nr. for Freewheel to the footrest height.</t>
  </si>
  <si>
    <t xml:space="preserve"> -  Footplates</t>
  </si>
  <si>
    <t>Note measure (A) for desired balance</t>
  </si>
  <si>
    <t>Footrest height</t>
  </si>
  <si>
    <t>Note measure(A) and / or (B) for desired footrest</t>
  </si>
  <si>
    <t xml:space="preserve">          YES do mark the wheelchair with attachment places for transport in a vehicle.</t>
  </si>
  <si>
    <t>NOTE! Read the manual for more info.</t>
  </si>
  <si>
    <t>1) Wheelschair model:</t>
  </si>
  <si>
    <t>2) Chassis colour:</t>
  </si>
  <si>
    <t>5) Back rest:</t>
  </si>
  <si>
    <t>pos. upholstery:</t>
  </si>
  <si>
    <t xml:space="preserve">  6) Backrest height:</t>
  </si>
  <si>
    <t>7) Rear axle:</t>
  </si>
  <si>
    <t>8) Castor:</t>
  </si>
  <si>
    <t>9) Footrest;</t>
  </si>
  <si>
    <t>Heel strap:</t>
  </si>
  <si>
    <t>Plastic plate:</t>
  </si>
  <si>
    <t>Brake:</t>
  </si>
  <si>
    <t>Rear wheel:</t>
  </si>
  <si>
    <t>Pushrim:</t>
  </si>
  <si>
    <t>Sideguard:</t>
  </si>
  <si>
    <t>Pushhandle:</t>
  </si>
  <si>
    <t>Anti-tip:</t>
  </si>
  <si>
    <t>Cushion:</t>
  </si>
  <si>
    <t>Wedge cushion:</t>
  </si>
  <si>
    <t>Spoke protection:</t>
  </si>
  <si>
    <t>Tube protec.,Front:</t>
  </si>
  <si>
    <t>Tube protec.Rear:</t>
  </si>
  <si>
    <t>Crutch holder:</t>
  </si>
  <si>
    <t>Back wedge:</t>
  </si>
  <si>
    <t>Table:</t>
  </si>
  <si>
    <t>with theme:</t>
  </si>
  <si>
    <t xml:space="preserve"> Settings</t>
  </si>
  <si>
    <t>Backrest angle:</t>
  </si>
  <si>
    <t>Rear axle:</t>
  </si>
  <si>
    <t>Footrest A:</t>
  </si>
  <si>
    <t>Footrest B:</t>
  </si>
  <si>
    <t>Transport mark:</t>
  </si>
  <si>
    <t>Bambino 3 Short</t>
  </si>
  <si>
    <t>Other castors</t>
  </si>
  <si>
    <t>Footplate B3</t>
  </si>
  <si>
    <t xml:space="preserve"> reTyre Traction 24” cpl pair</t>
  </si>
  <si>
    <t xml:space="preserve"> reTyre Traction 25”  cpl pair</t>
  </si>
  <si>
    <t xml:space="preserve"> reTyre Traction 26”  cpl pair</t>
  </si>
  <si>
    <r>
      <t xml:space="preserve">Seat width 33-50 cm, Seat depth35, 37.5 cm (Seat width 50 cm ) 37.5 cm. </t>
    </r>
    <r>
      <rPr>
        <sz val="9"/>
        <color theme="1"/>
        <rFont val="Calibri"/>
        <family val="2"/>
        <scheme val="minor"/>
      </rPr>
      <t>Select colour!</t>
    </r>
  </si>
  <si>
    <t>and</t>
  </si>
  <si>
    <r>
      <rPr>
        <b/>
        <i/>
        <sz val="12"/>
        <color rgb="FFC00000"/>
        <rFont val="Calibri"/>
        <family val="2"/>
        <scheme val="minor"/>
      </rPr>
      <t xml:space="preserve">6) </t>
    </r>
    <r>
      <rPr>
        <b/>
        <i/>
        <sz val="12"/>
        <color theme="1"/>
        <rFont val="Calibri"/>
        <family val="2"/>
        <scheme val="minor"/>
      </rPr>
      <t xml:space="preserve">Backrest height </t>
    </r>
    <r>
      <rPr>
        <b/>
        <i/>
        <sz val="12"/>
        <color rgb="FF0070C0"/>
        <rFont val="Calibri"/>
        <family val="2"/>
        <scheme val="minor"/>
      </rPr>
      <t>HH</t>
    </r>
  </si>
  <si>
    <r>
      <rPr>
        <b/>
        <i/>
        <sz val="12"/>
        <color rgb="FFC00000"/>
        <rFont val="Calibri"/>
        <family val="2"/>
        <scheme val="minor"/>
      </rPr>
      <t xml:space="preserve">7) </t>
    </r>
    <r>
      <rPr>
        <b/>
        <i/>
        <sz val="12"/>
        <color theme="1"/>
        <rFont val="Calibri"/>
        <family val="2"/>
        <scheme val="minor"/>
      </rPr>
      <t>Rear axle</t>
    </r>
  </si>
  <si>
    <t>LE std</t>
  </si>
  <si>
    <t>RI std</t>
  </si>
  <si>
    <r>
      <rPr>
        <b/>
        <i/>
        <sz val="12"/>
        <color rgb="FFC00000"/>
        <rFont val="Calibri"/>
        <family val="2"/>
        <scheme val="minor"/>
      </rPr>
      <t xml:space="preserve">8) </t>
    </r>
    <r>
      <rPr>
        <b/>
        <i/>
        <sz val="12"/>
        <color theme="1"/>
        <rFont val="Calibri"/>
        <family val="2"/>
        <scheme val="minor"/>
      </rPr>
      <t>Castor</t>
    </r>
  </si>
  <si>
    <t>Titanium U-shape small heelbar</t>
  </si>
  <si>
    <t xml:space="preserve">       Titan, extended, reinforc. *</t>
  </si>
  <si>
    <t xml:space="preserve">                   Footplate  Carbon</t>
  </si>
  <si>
    <r>
      <rPr>
        <b/>
        <i/>
        <sz val="12"/>
        <color rgb="FFC00000"/>
        <rFont val="Calibri"/>
        <family val="2"/>
        <scheme val="minor"/>
      </rPr>
      <t xml:space="preserve">10) </t>
    </r>
    <r>
      <rPr>
        <b/>
        <i/>
        <sz val="12"/>
        <color theme="1"/>
        <rFont val="Calibri"/>
        <family val="2"/>
        <scheme val="minor"/>
      </rPr>
      <t>Brake</t>
    </r>
  </si>
  <si>
    <t xml:space="preserve">        Onearm brake, right</t>
  </si>
  <si>
    <t xml:space="preserve">        Onearm brake, left</t>
  </si>
  <si>
    <t xml:space="preserve">             Attendent brake</t>
  </si>
  <si>
    <t>Fill in desired art.no:</t>
  </si>
  <si>
    <t xml:space="preserve">       25"  Spinergy X Wite</t>
  </si>
  <si>
    <t xml:space="preserve">       26"  Spinergy X Wite</t>
  </si>
  <si>
    <t>Onearm drive</t>
  </si>
  <si>
    <t>Titanium pushrims</t>
  </si>
  <si>
    <t>Tyre Grovmönstrat</t>
  </si>
  <si>
    <r>
      <rPr>
        <b/>
        <i/>
        <sz val="12"/>
        <color rgb="FFC00000"/>
        <rFont val="Calibri"/>
        <family val="2"/>
        <scheme val="minor"/>
      </rPr>
      <t xml:space="preserve">12) </t>
    </r>
    <r>
      <rPr>
        <b/>
        <i/>
        <sz val="12"/>
        <color theme="1"/>
        <rFont val="Calibri"/>
        <family val="2"/>
        <scheme val="minor"/>
      </rPr>
      <t>Pushrim</t>
    </r>
  </si>
  <si>
    <t>Maxgrip 24"</t>
  </si>
  <si>
    <t>Sideguard</t>
  </si>
  <si>
    <t xml:space="preserve">  Sideguard S3</t>
  </si>
  <si>
    <t>Armsupport S3</t>
  </si>
  <si>
    <t>Small cover</t>
  </si>
  <si>
    <t xml:space="preserve">  Push handle</t>
  </si>
  <si>
    <t>Height adjustbl. S3</t>
  </si>
  <si>
    <t>Height adjustbl. S3+10 cm</t>
  </si>
  <si>
    <t>Max. userweight 100kg</t>
  </si>
  <si>
    <t>Foldable pushhandle</t>
  </si>
  <si>
    <t>Foldable S3</t>
  </si>
  <si>
    <t>Pushbar</t>
  </si>
  <si>
    <t xml:space="preserve">         Cushion </t>
  </si>
  <si>
    <t>Wedge cushion</t>
  </si>
  <si>
    <t xml:space="preserve">           With logo</t>
  </si>
  <si>
    <t>Tuube protect. front (tubes)</t>
  </si>
  <si>
    <t>Tube protec. rear (backrest)</t>
  </si>
  <si>
    <t>Read more about Freewheel on home page</t>
  </si>
  <si>
    <t xml:space="preserve">     Table S3</t>
  </si>
  <si>
    <t>Spoke protec. With theme</t>
  </si>
  <si>
    <t xml:space="preserve">22" or 24" </t>
  </si>
  <si>
    <t>Note meaure(A) for desired backrest angle</t>
  </si>
  <si>
    <t>Standard=60 mm, with raised rear axle = 51 mm</t>
  </si>
  <si>
    <t xml:space="preserve"> -    Footplates</t>
  </si>
  <si>
    <t>Note measure(A) or (B) for deired footrest</t>
  </si>
  <si>
    <t xml:space="preserve">          YES do mark the wheelchair with atachment points transport in a vehicle</t>
  </si>
  <si>
    <t>Description</t>
  </si>
  <si>
    <t>Wheelschair model:</t>
  </si>
  <si>
    <t>Chassis colour:</t>
  </si>
  <si>
    <t>Seat depth:</t>
  </si>
  <si>
    <t>Backrest:</t>
  </si>
  <si>
    <t>Backrest height:</t>
  </si>
  <si>
    <t>plus upholstery:</t>
  </si>
  <si>
    <t>Castor:</t>
  </si>
  <si>
    <t>Footrest;</t>
  </si>
  <si>
    <t>Rearwheel:</t>
  </si>
  <si>
    <t>Accessories:</t>
  </si>
  <si>
    <t>Side guard:</t>
  </si>
  <si>
    <t>Pus handle:</t>
  </si>
  <si>
    <t>Tube protec.Front:</t>
  </si>
  <si>
    <t>Backrest wedge:</t>
  </si>
  <si>
    <t>Spoke protection</t>
  </si>
  <si>
    <t>Settings</t>
  </si>
  <si>
    <t>Other rearaxle</t>
  </si>
  <si>
    <t>Other castor</t>
  </si>
  <si>
    <t>Titanium,U-shaped</t>
  </si>
  <si>
    <t>Extended, reinforced</t>
  </si>
  <si>
    <t>Footplate Carbon</t>
  </si>
  <si>
    <t xml:space="preserve"> Onearm brake, right</t>
  </si>
  <si>
    <t xml:space="preserve"> Onearm brake, left</t>
  </si>
  <si>
    <t>Attendent brake</t>
  </si>
  <si>
    <t>24" Std Tyre Grovmönst.</t>
  </si>
  <si>
    <t>24" Std Tyre PU-massiva</t>
  </si>
  <si>
    <t>25" Spinergy X Tyre Right Run</t>
  </si>
  <si>
    <t>25" Spinergy X Tyre Marat. Plus</t>
  </si>
  <si>
    <t>26" Spinergy X Tyre Right Run</t>
  </si>
  <si>
    <t>26" Spinergy X Tyre Marat. Plus</t>
  </si>
  <si>
    <t>26" Spinergy X Tyre Marat. Plus White</t>
  </si>
  <si>
    <t>25" Spinergy X Tyre  Right Run White</t>
  </si>
  <si>
    <t>25" Spinergy X Tyre Marat. Plus White</t>
  </si>
  <si>
    <t>Rearwheel 24x2" MTB</t>
  </si>
  <si>
    <t>Armsupport</t>
  </si>
  <si>
    <t>Carbon no cover</t>
  </si>
  <si>
    <t>Carbon small cover</t>
  </si>
  <si>
    <t>Carbon large cover</t>
  </si>
  <si>
    <t>Push handle HS</t>
  </si>
  <si>
    <t>Push handle HS +10cm</t>
  </si>
  <si>
    <t xml:space="preserve">Foldable push handle </t>
  </si>
  <si>
    <t>France  (use the same cell  format)</t>
  </si>
  <si>
    <t xml:space="preserve">              Cushion</t>
  </si>
  <si>
    <t>Spoke protec.:</t>
  </si>
  <si>
    <t>Spoke protec. with logo</t>
  </si>
  <si>
    <t xml:space="preserve">           with logo</t>
  </si>
  <si>
    <t>Spoke protec. no logo</t>
  </si>
  <si>
    <t xml:space="preserve">            no logo</t>
  </si>
  <si>
    <t>Spoke protec. with theme</t>
  </si>
  <si>
    <t>Tube protec. front (fronte)</t>
  </si>
  <si>
    <t>Tube protec., front</t>
  </si>
  <si>
    <t>Tube protec.,front:</t>
  </si>
  <si>
    <t>Övriga rearaxlar</t>
  </si>
  <si>
    <t>rearåtbockad</t>
  </si>
  <si>
    <t>rearåtbockad-insvängd</t>
  </si>
  <si>
    <t>Tube protec., rear</t>
  </si>
  <si>
    <t>7) rearaxel</t>
  </si>
  <si>
    <t>Tube protec., rear:</t>
  </si>
  <si>
    <t>Table S3</t>
  </si>
  <si>
    <t>Select Freewheel</t>
  </si>
  <si>
    <t>Order form Panthera S3 Swing models</t>
  </si>
  <si>
    <t>S3 Swing has devided, foldable footrest and an adjustable  rearaxel in carbon fiber. To find the right balance that suits you the rear axle can be put in different posisions.</t>
  </si>
  <si>
    <t>Note desired measure at "settings". S3 Swing has a seat height of 45 cm in front and 43 rear, without cushion. To adjust the seat height use other rearwheel sizes  or a raising kit</t>
  </si>
  <si>
    <t>and suitable castors.            Max userweight is 100 kg för seat width 36-42 and 150kg for seat width 45-50 cm</t>
  </si>
  <si>
    <t>Seat width 36-50 cm, seat depth 40 cm</t>
  </si>
  <si>
    <t>Seat width 33-39 cm, seat depth 35 cm</t>
  </si>
  <si>
    <t>Seat width 39-50 cm, seat depth 35, 37.5, 40 cm (width 45cm) 37.5, 40 cm ---&gt;</t>
  </si>
  <si>
    <t xml:space="preserve">         &gt; --- ( width 50 cm) cm, Seat depth 35 cm.</t>
  </si>
  <si>
    <t xml:space="preserve">Seat width 36-50 cm, Seat depth 37.5, 40, 42.5, 50 cm </t>
  </si>
  <si>
    <t xml:space="preserve">            Optional colour</t>
  </si>
  <si>
    <r>
      <rPr>
        <b/>
        <i/>
        <sz val="12"/>
        <color rgb="FFC00000"/>
        <rFont val="Calibri"/>
        <family val="2"/>
        <scheme val="minor"/>
      </rPr>
      <t>4)</t>
    </r>
    <r>
      <rPr>
        <b/>
        <i/>
        <sz val="12"/>
        <color theme="1"/>
        <rFont val="Calibri"/>
        <family val="2"/>
        <scheme val="minor"/>
      </rPr>
      <t xml:space="preserve"> Seat depth</t>
    </r>
  </si>
  <si>
    <r>
      <rPr>
        <b/>
        <i/>
        <sz val="12"/>
        <color rgb="FFC00000"/>
        <rFont val="Calibri"/>
        <family val="2"/>
        <scheme val="minor"/>
      </rPr>
      <t>5)</t>
    </r>
    <r>
      <rPr>
        <b/>
        <i/>
        <sz val="12"/>
        <color theme="1"/>
        <rFont val="Calibri"/>
        <family val="2"/>
        <scheme val="minor"/>
      </rPr>
      <t xml:space="preserve"> Backrest</t>
    </r>
  </si>
  <si>
    <r>
      <rPr>
        <b/>
        <i/>
        <sz val="12"/>
        <color rgb="FFC00000"/>
        <rFont val="Calibri"/>
        <family val="2"/>
        <scheme val="minor"/>
      </rPr>
      <t xml:space="preserve">6) </t>
    </r>
    <r>
      <rPr>
        <b/>
        <i/>
        <sz val="12"/>
        <color theme="1"/>
        <rFont val="Calibri"/>
        <family val="2"/>
        <scheme val="minor"/>
      </rPr>
      <t xml:space="preserve">Backrest height  </t>
    </r>
    <r>
      <rPr>
        <b/>
        <i/>
        <sz val="12"/>
        <color rgb="FF0070C0"/>
        <rFont val="Calibri"/>
        <family val="2"/>
        <scheme val="minor"/>
      </rPr>
      <t>HH</t>
    </r>
  </si>
  <si>
    <t xml:space="preserve">          Other rear axle</t>
  </si>
  <si>
    <t>armsupport at Accessories and/or Increased seat height</t>
  </si>
  <si>
    <t>Increase seat height</t>
  </si>
  <si>
    <t>Increase sear height</t>
  </si>
  <si>
    <t xml:space="preserve">This rear axle is selected if you select armrest at </t>
  </si>
  <si>
    <t>Accessories and/or increased seat height</t>
  </si>
  <si>
    <t xml:space="preserve">       Large footplates</t>
  </si>
  <si>
    <t xml:space="preserve">         Heel strap for footplates</t>
  </si>
  <si>
    <t xml:space="preserve">    Extended tubes 40 mm</t>
  </si>
  <si>
    <t xml:space="preserve">        Attentent brake</t>
  </si>
  <si>
    <r>
      <rPr>
        <b/>
        <i/>
        <sz val="12"/>
        <color rgb="FFC00000"/>
        <rFont val="Calibri"/>
        <family val="2"/>
        <scheme val="minor"/>
      </rPr>
      <t xml:space="preserve">11) </t>
    </r>
    <r>
      <rPr>
        <b/>
        <i/>
        <sz val="12"/>
        <color theme="1"/>
        <rFont val="Calibri"/>
        <family val="2"/>
        <scheme val="minor"/>
      </rPr>
      <t>Rearwheels-</t>
    </r>
    <r>
      <rPr>
        <i/>
        <sz val="10"/>
        <color theme="1"/>
        <rFont val="Calibri"/>
        <family val="2"/>
        <scheme val="minor"/>
      </rPr>
      <t xml:space="preserve"> without pushrim</t>
    </r>
  </si>
  <si>
    <t>Tyre Rugged</t>
  </si>
  <si>
    <t xml:space="preserve">                      One arm drive</t>
  </si>
  <si>
    <t xml:space="preserve">    Rearwheel 24x2" MTB</t>
  </si>
  <si>
    <t>Liten cover</t>
  </si>
  <si>
    <t>Stor cover</t>
  </si>
  <si>
    <t xml:space="preserve"> Pushhandle</t>
  </si>
  <si>
    <t>Height adjustable S3</t>
  </si>
  <si>
    <t>22" and 24"</t>
  </si>
  <si>
    <t>24", 25" and 26"</t>
  </si>
  <si>
    <t>rear axle adjsutment</t>
  </si>
  <si>
    <t>Note  measure  (A) for desired balance</t>
  </si>
  <si>
    <t>Transport marking</t>
  </si>
  <si>
    <t xml:space="preserve">         YES do mark the wheelchair with attachment places for transport in a vehicle.</t>
  </si>
  <si>
    <t>1) S3 Swing model</t>
  </si>
  <si>
    <t>2) Colour:</t>
  </si>
  <si>
    <t>5) Backrest:</t>
  </si>
  <si>
    <t>9) Fotrest;</t>
  </si>
  <si>
    <t>Crutsch holder:</t>
  </si>
  <si>
    <t>24" Std tyre Marathon Plus</t>
  </si>
  <si>
    <t>22" Std tyre Right Run</t>
  </si>
  <si>
    <t>22" Std tyre Marathon Plus</t>
  </si>
  <si>
    <t>25" Spinergy X tyre Right Run</t>
  </si>
  <si>
    <t>25" Spinergy X tyre Marat. Plus</t>
  </si>
  <si>
    <t>26" Spinergy X tyre Right Run</t>
  </si>
  <si>
    <t>26" Spinergy X tyre Marat. Plus</t>
  </si>
  <si>
    <t>26" Spinergy X tyre Marat. Plus White</t>
  </si>
  <si>
    <t>24" Std tyre Right Run</t>
  </si>
  <si>
    <t>24" Std tyre PU-massive</t>
  </si>
  <si>
    <t>22" Std tyre PU-massive</t>
  </si>
  <si>
    <t>24" Std tyre rugged.</t>
  </si>
  <si>
    <t>25" Spinergy X tyre  Right Run white</t>
  </si>
  <si>
    <t>25" Spinergy X tyre Marat. Plus white</t>
  </si>
  <si>
    <t>Pushhandle HS</t>
  </si>
  <si>
    <t>Pushhandle HS +10cm</t>
  </si>
  <si>
    <t xml:space="preserve">Foldable pushhandle </t>
  </si>
  <si>
    <t>Order form for Panthera:</t>
  </si>
  <si>
    <t>S3 Models</t>
  </si>
  <si>
    <t>U3 Models</t>
  </si>
  <si>
    <t>S3 Swing Models</t>
  </si>
  <si>
    <t>at "settings". S3 has a seat height of 47cm front and 43 rear, without cushion. To adjust the seat height, use other rear wheels or a raising-kit.</t>
  </si>
  <si>
    <t xml:space="preserve">                  Yellow mark indicates a 20 day delivery time.</t>
  </si>
  <si>
    <t>This rear axle is used  when selecting</t>
  </si>
  <si>
    <t>armsupport at accessories and/or Increased seat height</t>
  </si>
  <si>
    <t>Increas seat height</t>
  </si>
  <si>
    <t xml:space="preserve">               Attendent brake</t>
  </si>
  <si>
    <r>
      <rPr>
        <b/>
        <i/>
        <sz val="11"/>
        <color rgb="FFC00000"/>
        <rFont val="Calibri"/>
        <family val="2"/>
        <scheme val="minor"/>
      </rPr>
      <t xml:space="preserve">9) </t>
    </r>
    <r>
      <rPr>
        <b/>
        <i/>
        <sz val="11"/>
        <color theme="1"/>
        <rFont val="Calibri"/>
        <family val="2"/>
        <scheme val="minor"/>
      </rPr>
      <t>Rearwheel -</t>
    </r>
    <r>
      <rPr>
        <i/>
        <sz val="11"/>
        <color theme="1"/>
        <rFont val="Calibri"/>
        <family val="2"/>
        <scheme val="minor"/>
      </rPr>
      <t xml:space="preserve"> without pushrim</t>
    </r>
  </si>
  <si>
    <t xml:space="preserve"> Height adjustable S3</t>
  </si>
  <si>
    <t xml:space="preserve"> Höj / sänkbara S3</t>
  </si>
  <si>
    <t>Rear axle position</t>
  </si>
  <si>
    <t>vid höjning av bakaxel</t>
  </si>
  <si>
    <t>for raised raer axle</t>
  </si>
  <si>
    <t>Standard=60 mm,vid höjd bakaxel= 51 mm</t>
  </si>
  <si>
    <t>Standard=60 mm,at raised rear axle= 51 mm</t>
  </si>
  <si>
    <t>Standard=40 mm,vid höjd bakaxel= 31 mm</t>
  </si>
  <si>
    <t>Standard=40 mm,at raised rear axle= 31 mm</t>
  </si>
  <si>
    <t>Standard med 6° bakaxel =31 mm och med Carbon bakaxel=40 mm</t>
  </si>
  <si>
    <t>Standard with 6° rear axle =31 mm and with Carbon rear axle=40 mm</t>
  </si>
  <si>
    <t>Pushrim</t>
  </si>
  <si>
    <t>cushion length</t>
  </si>
  <si>
    <t>Adaptable 30-33cm</t>
  </si>
  <si>
    <t>Anpassningsbar 30-33cm</t>
  </si>
  <si>
    <t>Anpassningsbar 2,5cm</t>
  </si>
  <si>
    <t>Anpassningsbar 5cm</t>
  </si>
  <si>
    <t>Adaptable 2,5cm</t>
  </si>
  <si>
    <t>Adaptable 5cm</t>
  </si>
  <si>
    <t>27-33 cm (seat width 30-33), 35 cm (seat width 36-45)</t>
  </si>
  <si>
    <t>27-33 cm (sittbredd 30-33), 35 cm (sittbredd 36-45)</t>
  </si>
  <si>
    <t>rev:2023-03</t>
  </si>
  <si>
    <t>2024-01-05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</si>
</sst>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484]"/>
    <numFmt numFmtId="165" formatCode="[$£-809]#,##0"/>
    <numFmt numFmtId="166" formatCode="[$-C09]dd/mmmm/yyyy;@"/>
    <numFmt numFmtId="167" formatCode="#,##0\ &quot;kr&quot;"/>
  </numFmts>
  <fonts count="118" x14ac:knownFonts="1">
    <font>
      <sz val="11"/>
      <color theme="1"/>
      <name val="Calibri"/>
      <family val="2"/>
      <scheme val="minor"/>
    </font>
    <font>
      <sz val="7"/>
      <color theme="1"/>
      <name val="Calibri"/>
      <family val="2"/>
      <scheme val="minor"/>
    </font>
    <font>
      <u/>
      <sz val="11"/>
      <color theme="10"/>
      <name val="Calibri"/>
      <family val="2"/>
      <scheme val="minor"/>
    </font>
    <font>
      <u/>
      <sz val="8"/>
      <color theme="10"/>
      <name val="Calibri"/>
      <family val="2"/>
      <scheme val="minor"/>
    </font>
    <font>
      <b/>
      <i/>
      <sz val="12"/>
      <color rgb="FF0070C0"/>
      <name val="Calibri"/>
      <family val="2"/>
      <scheme val="minor"/>
    </font>
    <font>
      <sz val="11"/>
      <name val="Calibri"/>
      <family val="2"/>
      <scheme val="minor"/>
    </font>
    <font>
      <b/>
      <i/>
      <sz val="10"/>
      <color rgb="FFC00000"/>
      <name val="Calibri"/>
      <family val="2"/>
      <scheme val="minor"/>
    </font>
    <font>
      <sz val="8"/>
      <color theme="1"/>
      <name val="Calibri"/>
      <family val="2"/>
      <scheme val="minor"/>
    </font>
    <font>
      <b/>
      <i/>
      <sz val="12"/>
      <name val="Calibri"/>
      <family val="2"/>
      <scheme val="minor"/>
    </font>
    <font>
      <sz val="8"/>
      <color rgb="FF000000"/>
      <name val="Segoe UI"/>
      <family val="2"/>
    </font>
    <font>
      <sz val="11"/>
      <color theme="0"/>
      <name val="Calibri"/>
      <family val="2"/>
      <scheme val="minor"/>
    </font>
    <font>
      <b/>
      <i/>
      <sz val="11"/>
      <color rgb="FFC00000"/>
      <name val="Calibri"/>
      <family val="2"/>
      <scheme val="minor"/>
    </font>
    <font>
      <b/>
      <i/>
      <sz val="14"/>
      <color rgb="FF0070C0"/>
      <name val="Calibri"/>
      <family val="2"/>
      <scheme val="minor"/>
    </font>
    <font>
      <b/>
      <sz val="11"/>
      <color theme="1"/>
      <name val="Calibri"/>
      <family val="2"/>
      <scheme val="minor"/>
    </font>
    <font>
      <sz val="10"/>
      <color theme="1"/>
      <name val="Calibri"/>
      <family val="2"/>
      <scheme val="minor"/>
    </font>
    <font>
      <sz val="8"/>
      <color rgb="FFC00000"/>
      <name val="Calibri"/>
      <family val="2"/>
      <scheme val="minor"/>
    </font>
    <font>
      <sz val="9"/>
      <color rgb="FFC00000"/>
      <name val="Calibri"/>
      <family val="2"/>
      <scheme val="minor"/>
    </font>
    <font>
      <b/>
      <sz val="10"/>
      <color theme="1"/>
      <name val="Calibri"/>
      <family val="2"/>
      <scheme val="minor"/>
    </font>
    <font>
      <sz val="9"/>
      <color theme="1"/>
      <name val="Calibri"/>
      <family val="2"/>
      <scheme val="minor"/>
    </font>
    <font>
      <u/>
      <sz val="9"/>
      <color theme="10"/>
      <name val="Calibri"/>
      <family val="2"/>
      <scheme val="minor"/>
    </font>
    <font>
      <b/>
      <sz val="8"/>
      <color rgb="FFC00000"/>
      <name val="Calibri"/>
      <family val="2"/>
      <scheme val="minor"/>
    </font>
    <font>
      <sz val="8"/>
      <name val="Calibri"/>
      <family val="2"/>
      <scheme val="minor"/>
    </font>
    <font>
      <u/>
      <sz val="10"/>
      <color theme="10"/>
      <name val="Calibri"/>
      <family val="2"/>
      <scheme val="minor"/>
    </font>
    <font>
      <b/>
      <i/>
      <sz val="10"/>
      <name val="Calibri"/>
      <family val="2"/>
      <scheme val="minor"/>
    </font>
    <font>
      <sz val="10"/>
      <name val="Calibri"/>
      <family val="2"/>
      <scheme val="minor"/>
    </font>
    <font>
      <b/>
      <sz val="10"/>
      <name val="Calibri"/>
      <family val="2"/>
      <scheme val="minor"/>
    </font>
    <font>
      <b/>
      <sz val="9"/>
      <color rgb="FFC00000"/>
      <name val="Calibri"/>
      <family val="2"/>
      <scheme val="minor"/>
    </font>
    <font>
      <i/>
      <sz val="9"/>
      <color theme="1"/>
      <name val="Calibri"/>
      <family val="2"/>
      <scheme val="minor"/>
    </font>
    <font>
      <sz val="9"/>
      <color theme="10"/>
      <name val="Calibri"/>
      <family val="2"/>
      <scheme val="minor"/>
    </font>
    <font>
      <sz val="9"/>
      <name val="Calibri"/>
      <family val="2"/>
      <scheme val="minor"/>
    </font>
    <font>
      <b/>
      <i/>
      <sz val="14"/>
      <color rgb="FFC00000"/>
      <name val="Calibri"/>
      <family val="2"/>
      <scheme val="minor"/>
    </font>
    <font>
      <sz val="7"/>
      <name val="Calibri"/>
      <family val="2"/>
      <scheme val="minor"/>
    </font>
    <font>
      <sz val="6"/>
      <color theme="1"/>
      <name val="Calibri"/>
      <family val="2"/>
      <scheme val="minor"/>
    </font>
    <font>
      <b/>
      <i/>
      <sz val="11"/>
      <color theme="1"/>
      <name val="Calibri"/>
      <family val="2"/>
      <scheme val="minor"/>
    </font>
    <font>
      <sz val="11"/>
      <color theme="0" tint="-0.34998626667073579"/>
      <name val="Calibri"/>
      <family val="2"/>
      <scheme val="minor"/>
    </font>
    <font>
      <b/>
      <sz val="10"/>
      <color rgb="FF0070C0"/>
      <name val="Calibri"/>
      <family val="2"/>
      <scheme val="minor"/>
    </font>
    <font>
      <b/>
      <sz val="9"/>
      <color theme="1"/>
      <name val="Calibri"/>
      <family val="2"/>
      <scheme val="minor"/>
    </font>
    <font>
      <b/>
      <i/>
      <sz val="10"/>
      <color rgb="FF0070C0"/>
      <name val="Calibri"/>
      <family val="2"/>
      <scheme val="minor"/>
    </font>
    <font>
      <b/>
      <i/>
      <sz val="11"/>
      <name val="Calibri"/>
      <family val="2"/>
      <scheme val="minor"/>
    </font>
    <font>
      <b/>
      <sz val="9"/>
      <color rgb="FF0070C0"/>
      <name val="Calibri"/>
      <family val="2"/>
      <scheme val="minor"/>
    </font>
    <font>
      <b/>
      <sz val="8"/>
      <color theme="1"/>
      <name val="Calibri"/>
      <family val="2"/>
      <scheme val="minor"/>
    </font>
    <font>
      <sz val="9"/>
      <color rgb="FFFFFFFF"/>
      <name val="Arial"/>
      <family val="2"/>
    </font>
    <font>
      <sz val="9"/>
      <name val="Arial"/>
      <family val="2"/>
    </font>
    <font>
      <sz val="9"/>
      <color theme="0"/>
      <name val="Calibri"/>
      <family val="2"/>
      <scheme val="minor"/>
    </font>
    <font>
      <b/>
      <sz val="7"/>
      <color theme="1"/>
      <name val="Calibri"/>
      <family val="2"/>
      <scheme val="minor"/>
    </font>
    <font>
      <b/>
      <sz val="7"/>
      <color rgb="FF0070C0"/>
      <name val="Calibri"/>
      <family val="2"/>
      <scheme val="minor"/>
    </font>
    <font>
      <sz val="11"/>
      <color rgb="FFC00000"/>
      <name val="Calibri"/>
      <family val="2"/>
      <scheme val="minor"/>
    </font>
    <font>
      <b/>
      <sz val="7"/>
      <color rgb="FFC00000"/>
      <name val="Calibri"/>
      <family val="2"/>
      <scheme val="minor"/>
    </font>
    <font>
      <b/>
      <sz val="7"/>
      <name val="Calibri"/>
      <family val="2"/>
      <scheme val="minor"/>
    </font>
    <font>
      <b/>
      <sz val="11"/>
      <color rgb="FFC00000"/>
      <name val="Calibri"/>
      <family val="2"/>
      <scheme val="minor"/>
    </font>
    <font>
      <b/>
      <sz val="8"/>
      <color rgb="FF0070C0"/>
      <name val="Arial"/>
      <family val="2"/>
    </font>
    <font>
      <b/>
      <sz val="14"/>
      <color rgb="FFC00000"/>
      <name val="Calibri"/>
      <family val="2"/>
      <scheme val="minor"/>
    </font>
    <font>
      <b/>
      <sz val="12"/>
      <color rgb="FFC00000"/>
      <name val="Calibri"/>
      <family val="2"/>
      <scheme val="minor"/>
    </font>
    <font>
      <b/>
      <sz val="12"/>
      <color rgb="FFC00000"/>
      <name val="Arial"/>
      <family val="2"/>
    </font>
    <font>
      <b/>
      <sz val="11"/>
      <name val="Calibri"/>
      <family val="2"/>
      <scheme val="minor"/>
    </font>
    <font>
      <sz val="12"/>
      <color rgb="FFC00000"/>
      <name val="Calibri"/>
      <family val="2"/>
      <scheme val="minor"/>
    </font>
    <font>
      <b/>
      <i/>
      <sz val="9"/>
      <color rgb="FFC00000"/>
      <name val="Calibri"/>
      <family val="2"/>
      <scheme val="minor"/>
    </font>
    <font>
      <b/>
      <sz val="9"/>
      <name val="Calibri"/>
      <family val="2"/>
      <scheme val="minor"/>
    </font>
    <font>
      <b/>
      <sz val="8"/>
      <name val="Calibri"/>
      <family val="2"/>
      <scheme val="minor"/>
    </font>
    <font>
      <b/>
      <i/>
      <sz val="12"/>
      <color rgb="FFC00000"/>
      <name val="Calibri"/>
      <family val="2"/>
      <scheme val="minor"/>
    </font>
    <font>
      <b/>
      <i/>
      <sz val="12"/>
      <color theme="10"/>
      <name val="Calibri"/>
      <family val="2"/>
      <scheme val="minor"/>
    </font>
    <font>
      <sz val="10"/>
      <color rgb="FFC00000"/>
      <name val="Calibri"/>
      <family val="2"/>
      <scheme val="minor"/>
    </font>
    <font>
      <b/>
      <i/>
      <sz val="12"/>
      <color theme="1"/>
      <name val="Calibri"/>
      <family val="2"/>
      <scheme val="minor"/>
    </font>
    <font>
      <i/>
      <sz val="10"/>
      <color theme="1"/>
      <name val="Calibri"/>
      <family val="2"/>
      <scheme val="minor"/>
    </font>
    <font>
      <sz val="6"/>
      <name val="Calibri"/>
      <family val="2"/>
      <scheme val="minor"/>
    </font>
    <font>
      <b/>
      <i/>
      <sz val="8"/>
      <color rgb="FF0070C0"/>
      <name val="Calibri"/>
      <family val="2"/>
      <scheme val="minor"/>
    </font>
    <font>
      <i/>
      <sz val="10"/>
      <name val="Calibri"/>
      <family val="2"/>
      <scheme val="minor"/>
    </font>
    <font>
      <b/>
      <sz val="10"/>
      <color rgb="FFC00000"/>
      <name val="Calibri"/>
      <family val="2"/>
      <scheme val="minor"/>
    </font>
    <font>
      <b/>
      <sz val="8"/>
      <color rgb="FF0070C0"/>
      <name val="Calibri"/>
      <family val="2"/>
      <scheme val="minor"/>
    </font>
    <font>
      <sz val="12"/>
      <name val="Calibri"/>
      <family val="2"/>
      <scheme val="minor"/>
    </font>
    <font>
      <u/>
      <sz val="24"/>
      <color theme="10"/>
      <name val="Calibri"/>
      <family val="2"/>
      <scheme val="minor"/>
    </font>
    <font>
      <b/>
      <i/>
      <sz val="8"/>
      <name val="Calibri"/>
      <family val="2"/>
      <scheme val="minor"/>
    </font>
    <font>
      <b/>
      <u/>
      <sz val="9"/>
      <color rgb="FF0070C0"/>
      <name val="Calibri"/>
      <family val="2"/>
      <scheme val="minor"/>
    </font>
    <font>
      <b/>
      <u/>
      <sz val="9"/>
      <color theme="10"/>
      <name val="Calibri"/>
      <family val="2"/>
      <scheme val="minor"/>
    </font>
    <font>
      <sz val="11"/>
      <color rgb="FF0070C0"/>
      <name val="Calibri"/>
      <family val="2"/>
      <scheme val="minor"/>
    </font>
    <font>
      <b/>
      <i/>
      <u/>
      <sz val="11"/>
      <color rgb="FF0070C0"/>
      <name val="Calibri"/>
      <family val="2"/>
      <scheme val="minor"/>
    </font>
    <font>
      <sz val="11"/>
      <color theme="0" tint="-0.249977111117893"/>
      <name val="Calibri"/>
      <family val="2"/>
      <scheme val="minor"/>
    </font>
    <font>
      <b/>
      <sz val="12"/>
      <color theme="0" tint="-0.249977111117893"/>
      <name val="Calibri"/>
      <family val="2"/>
      <scheme val="minor"/>
    </font>
    <font>
      <b/>
      <i/>
      <sz val="20"/>
      <color theme="1"/>
      <name val="Calibri"/>
      <family val="2"/>
      <scheme val="minor"/>
    </font>
    <font>
      <b/>
      <i/>
      <sz val="18"/>
      <color theme="1"/>
      <name val="Calibri"/>
      <family val="2"/>
      <scheme val="minor"/>
    </font>
    <font>
      <u/>
      <sz val="7"/>
      <color rgb="FF0070C0"/>
      <name val="Calibri"/>
      <family val="2"/>
      <scheme val="minor"/>
    </font>
    <font>
      <sz val="6"/>
      <color rgb="FFC00000"/>
      <name val="Calibri"/>
      <family val="2"/>
      <scheme val="minor"/>
    </font>
    <font>
      <b/>
      <sz val="9"/>
      <color theme="10"/>
      <name val="Calibri"/>
      <family val="2"/>
      <scheme val="minor"/>
    </font>
    <font>
      <u/>
      <sz val="7"/>
      <color theme="10"/>
      <name val="Calibri"/>
      <family val="2"/>
      <scheme val="minor"/>
    </font>
    <font>
      <b/>
      <sz val="12"/>
      <color rgb="FF000000"/>
      <name val="Calibri"/>
      <family val="2"/>
      <scheme val="minor"/>
    </font>
    <font>
      <b/>
      <sz val="12"/>
      <color theme="1"/>
      <name val="Calibri"/>
      <family val="2"/>
      <scheme val="minor"/>
    </font>
    <font>
      <sz val="12"/>
      <color theme="1"/>
      <name val="Calibri"/>
      <family val="2"/>
      <scheme val="minor"/>
    </font>
    <font>
      <sz val="11"/>
      <color theme="1"/>
      <name val="Calibri"/>
      <family val="2"/>
      <scheme val="minor"/>
    </font>
    <font>
      <b/>
      <sz val="11"/>
      <color rgb="FF0070C0"/>
      <name val="Calibri"/>
      <family val="2"/>
      <scheme val="minor"/>
    </font>
    <font>
      <b/>
      <sz val="18"/>
      <color rgb="FF0070C0"/>
      <name val="Calibri"/>
      <family val="2"/>
      <scheme val="minor"/>
    </font>
    <font>
      <sz val="11"/>
      <color rgb="FF000000"/>
      <name val="Calibri"/>
      <family val="2"/>
      <scheme val="minor"/>
    </font>
    <font>
      <b/>
      <sz val="11"/>
      <color rgb="FF000000"/>
      <name val="Calibri"/>
      <family val="2"/>
      <scheme val="minor"/>
    </font>
    <font>
      <i/>
      <sz val="11"/>
      <color theme="1"/>
      <name val="Calibri"/>
      <family val="2"/>
      <scheme val="minor"/>
    </font>
    <font>
      <b/>
      <i/>
      <sz val="9"/>
      <color theme="1"/>
      <name val="Calibri"/>
      <family val="2"/>
      <scheme val="minor"/>
    </font>
    <font>
      <b/>
      <i/>
      <sz val="6"/>
      <color rgb="FFC00000"/>
      <name val="Calibri"/>
      <family val="2"/>
      <scheme val="minor"/>
    </font>
    <font>
      <b/>
      <sz val="8"/>
      <color theme="10"/>
      <name val="Calibri"/>
      <family val="2"/>
      <scheme val="minor"/>
    </font>
    <font>
      <b/>
      <sz val="7"/>
      <color theme="10"/>
      <name val="Calibri"/>
      <family val="2"/>
      <scheme val="minor"/>
    </font>
    <font>
      <b/>
      <i/>
      <sz val="11"/>
      <color rgb="FF0070C0"/>
      <name val="Calibri"/>
      <family val="2"/>
      <scheme val="minor"/>
    </font>
    <font>
      <sz val="7"/>
      <color rgb="FFC00000"/>
      <name val="Calibri"/>
      <family val="2"/>
      <scheme val="minor"/>
    </font>
    <font>
      <b/>
      <sz val="14"/>
      <color theme="10"/>
      <name val="Calibri"/>
      <family val="2"/>
      <scheme val="minor"/>
    </font>
    <font>
      <b/>
      <i/>
      <sz val="10"/>
      <color theme="1"/>
      <name val="Calibri"/>
      <family val="2"/>
      <scheme val="minor"/>
    </font>
    <font>
      <b/>
      <sz val="11"/>
      <color theme="10"/>
      <name val="Calibri"/>
      <family val="2"/>
      <scheme val="minor"/>
    </font>
    <font>
      <sz val="22"/>
      <color theme="10"/>
      <name val="Calibri"/>
      <family val="2"/>
      <scheme val="minor"/>
    </font>
    <font>
      <sz val="11"/>
      <color theme="10"/>
      <name val="Calibri"/>
      <family val="2"/>
      <scheme val="minor"/>
    </font>
    <font>
      <sz val="14"/>
      <color theme="10"/>
      <name val="Calibri"/>
      <family val="2"/>
      <scheme val="minor"/>
    </font>
    <font>
      <sz val="24"/>
      <color theme="10"/>
      <name val="Calibri"/>
      <family val="2"/>
      <scheme val="minor"/>
    </font>
    <font>
      <sz val="12"/>
      <color theme="2" tint="-0.249977111117893"/>
      <name val="Calibri"/>
      <family val="2"/>
      <scheme val="minor"/>
    </font>
    <font>
      <b/>
      <sz val="11"/>
      <color indexed="8"/>
      <name val="Calibri"/>
      <family val="2"/>
      <scheme val="minor"/>
    </font>
    <font>
      <b/>
      <i/>
      <sz val="20"/>
      <color rgb="FFC00000"/>
      <name val="Calibri"/>
      <family val="2"/>
      <scheme val="minor"/>
    </font>
    <font>
      <sz val="11"/>
      <color theme="1" tint="0.499984740745262"/>
      <name val="Calibri"/>
      <family val="2"/>
      <scheme val="minor"/>
    </font>
    <font>
      <b/>
      <sz val="11"/>
      <color theme="1" tint="0.499984740745262"/>
      <name val="Calibri"/>
      <family val="2"/>
      <scheme val="minor"/>
    </font>
    <font>
      <b/>
      <i/>
      <sz val="12"/>
      <color theme="0"/>
      <name val="Calibri"/>
      <family val="2"/>
      <scheme val="minor"/>
    </font>
    <font>
      <sz val="8"/>
      <color theme="0"/>
      <name val="Calibri"/>
      <family val="2"/>
      <scheme val="minor"/>
    </font>
    <font>
      <i/>
      <sz val="8"/>
      <color theme="0"/>
      <name val="Calibri"/>
      <family val="2"/>
      <scheme val="minor"/>
    </font>
    <font>
      <i/>
      <sz val="8"/>
      <name val="Calibri"/>
      <family val="2"/>
      <scheme val="minor"/>
    </font>
    <font>
      <i/>
      <sz val="10"/>
      <color theme="0" tint="-0.14999847407452621"/>
      <name val="Calibri"/>
      <family val="2"/>
      <scheme val="minor"/>
    </font>
    <font>
      <b/>
      <i/>
      <sz val="10"/>
      <color theme="0"/>
      <name val="Calibri"/>
      <family val="2"/>
      <scheme val="minor"/>
    </font>
    <font>
      <b/>
      <sz val="6"/>
      <color rgb="FFC00000"/>
      <name val="Calibri"/>
      <family val="2"/>
      <scheme val="minor"/>
    </font>
  </fonts>
  <fills count="12">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39997558519241921"/>
        <bgColor indexed="64"/>
      </patternFill>
    </fill>
    <fill>
      <patternFill patternType="solid">
        <fgColor rgb="FFFFFF00"/>
        <bgColor indexed="64"/>
      </patternFill>
    </fill>
    <fill>
      <patternFill patternType="solid">
        <fgColor theme="2"/>
        <bgColor indexed="64"/>
      </patternFill>
    </fill>
    <fill>
      <patternFill patternType="solid">
        <fgColor theme="5" tint="0.59999389629810485"/>
        <bgColor indexed="64"/>
      </patternFill>
    </fill>
    <fill>
      <gradientFill degree="90">
        <stop position="0">
          <color theme="0"/>
        </stop>
        <stop position="1">
          <color theme="0" tint="-5.0965910824915313E-2"/>
        </stop>
      </gradientFill>
    </fill>
    <fill>
      <patternFill patternType="solid">
        <fgColor theme="4" tint="0.59999389629810485"/>
        <bgColor indexed="64"/>
      </patternFill>
    </fill>
    <fill>
      <patternFill patternType="solid">
        <fgColor theme="0" tint="-0.14999847407452621"/>
        <bgColor auto="1"/>
      </patternFill>
    </fill>
  </fills>
  <borders count="1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
    <xf numFmtId="0" fontId="0" fillId="0" borderId="0"/>
    <xf numFmtId="0" fontId="2" fillId="0" borderId="0" applyNumberFormat="0" applyFill="0" applyBorder="0" applyAlignment="0" applyProtection="0"/>
  </cellStyleXfs>
  <cellXfs count="879">
    <xf numFmtId="0" fontId="0" fillId="0" borderId="0" xfId="0"/>
    <xf numFmtId="0" fontId="0" fillId="0" borderId="0" xfId="0" applyAlignment="1">
      <alignment horizontal="center"/>
    </xf>
    <xf numFmtId="0" fontId="0" fillId="0" borderId="0" xfId="0" applyAlignment="1">
      <alignment horizontal="right"/>
    </xf>
    <xf numFmtId="0" fontId="1" fillId="0" borderId="0" xfId="0" applyFont="1"/>
    <xf numFmtId="0" fontId="3" fillId="0" borderId="0" xfId="1" applyFont="1"/>
    <xf numFmtId="0" fontId="4" fillId="0" borderId="0" xfId="0" applyFont="1" applyAlignment="1">
      <alignment horizontal="left" vertical="center"/>
    </xf>
    <xf numFmtId="0" fontId="6" fillId="0" borderId="0" xfId="0" applyFont="1" applyAlignment="1">
      <alignment horizontal="right"/>
    </xf>
    <xf numFmtId="0" fontId="3" fillId="0" borderId="0" xfId="1" applyFont="1" applyAlignment="1">
      <alignment horizontal="left" vertical="center"/>
    </xf>
    <xf numFmtId="0" fontId="7" fillId="0" borderId="0" xfId="0" applyFont="1" applyAlignment="1">
      <alignment horizontal="right"/>
    </xf>
    <xf numFmtId="0" fontId="7" fillId="0" borderId="0" xfId="0" applyFont="1" applyAlignment="1">
      <alignment horizontal="center"/>
    </xf>
    <xf numFmtId="0" fontId="7" fillId="0" borderId="0" xfId="0" applyFont="1" applyAlignment="1">
      <alignment horizontal="center" vertical="center"/>
    </xf>
    <xf numFmtId="0" fontId="3" fillId="0" borderId="0" xfId="1" applyFont="1" applyAlignment="1">
      <alignment horizontal="left" vertical="top"/>
    </xf>
    <xf numFmtId="0" fontId="0" fillId="0" borderId="0" xfId="0" applyProtection="1">
      <protection locked="0"/>
    </xf>
    <xf numFmtId="0" fontId="11" fillId="0" borderId="0" xfId="0" applyFont="1" applyAlignment="1">
      <alignment horizontal="center"/>
    </xf>
    <xf numFmtId="0" fontId="0" fillId="0" borderId="0" xfId="0" applyAlignment="1">
      <alignment horizontal="left"/>
    </xf>
    <xf numFmtId="0" fontId="7" fillId="0" borderId="0" xfId="0" applyFont="1"/>
    <xf numFmtId="164" fontId="15" fillId="0" borderId="0" xfId="0" applyNumberFormat="1" applyFont="1" applyAlignment="1">
      <alignment horizontal="center" vertical="center"/>
    </xf>
    <xf numFmtId="0" fontId="3" fillId="0" borderId="0" xfId="1" applyFont="1" applyAlignment="1">
      <alignment horizontal="center" vertical="top"/>
    </xf>
    <xf numFmtId="0" fontId="14" fillId="0" borderId="0" xfId="0" applyFont="1"/>
    <xf numFmtId="0" fontId="2" fillId="0" borderId="0" xfId="1"/>
    <xf numFmtId="165" fontId="16" fillId="0" borderId="0" xfId="0" applyNumberFormat="1" applyFont="1" applyAlignment="1">
      <alignment horizontal="left" vertical="center"/>
    </xf>
    <xf numFmtId="165" fontId="16" fillId="0" borderId="0" xfId="0" applyNumberFormat="1" applyFont="1" applyAlignment="1">
      <alignment horizontal="center" vertical="center"/>
    </xf>
    <xf numFmtId="0" fontId="19" fillId="0" borderId="0" xfId="1" applyFont="1"/>
    <xf numFmtId="0" fontId="20" fillId="0" borderId="0" xfId="0" applyFont="1" applyAlignment="1">
      <alignment horizontal="left" vertical="center"/>
    </xf>
    <xf numFmtId="0" fontId="20" fillId="0" borderId="0" xfId="0" applyFont="1"/>
    <xf numFmtId="0" fontId="19" fillId="0" borderId="0" xfId="1" applyFont="1" applyAlignment="1">
      <alignment horizontal="center" vertical="center"/>
    </xf>
    <xf numFmtId="0" fontId="19" fillId="0" borderId="0" xfId="1" applyFont="1" applyAlignment="1">
      <alignment horizontal="left" vertical="center"/>
    </xf>
    <xf numFmtId="0" fontId="4" fillId="0" borderId="0" xfId="0" applyFont="1" applyAlignment="1">
      <alignment horizontal="center" vertical="center"/>
    </xf>
    <xf numFmtId="0" fontId="22" fillId="0" borderId="0" xfId="1" applyFont="1"/>
    <xf numFmtId="0" fontId="22" fillId="0" borderId="0" xfId="1" applyFont="1" applyAlignment="1">
      <alignment horizontal="center"/>
    </xf>
    <xf numFmtId="0" fontId="6" fillId="0" borderId="0" xfId="0" applyFont="1" applyAlignment="1">
      <alignment horizontal="right" vertical="center"/>
    </xf>
    <xf numFmtId="0" fontId="18" fillId="0" borderId="0" xfId="0" applyFont="1"/>
    <xf numFmtId="0" fontId="17" fillId="0" borderId="0" xfId="0" applyFont="1" applyAlignment="1">
      <alignment vertical="center"/>
    </xf>
    <xf numFmtId="0" fontId="17" fillId="0" borderId="0" xfId="0" applyFont="1" applyAlignment="1">
      <alignment horizontal="left" vertical="center"/>
    </xf>
    <xf numFmtId="0" fontId="13" fillId="0" borderId="0" xfId="0" applyFont="1"/>
    <xf numFmtId="0" fontId="25" fillId="0" borderId="0" xfId="0" applyFont="1" applyAlignment="1">
      <alignment horizontal="left" vertical="center"/>
    </xf>
    <xf numFmtId="0" fontId="4" fillId="0" borderId="0" xfId="0" applyFont="1" applyAlignment="1">
      <alignment horizontal="right" vertical="center"/>
    </xf>
    <xf numFmtId="0" fontId="0" fillId="0" borderId="0" xfId="0" applyAlignment="1" applyProtection="1">
      <alignment horizontal="center"/>
      <protection locked="0"/>
    </xf>
    <xf numFmtId="0" fontId="7" fillId="0" borderId="0" xfId="0" applyFont="1" applyAlignment="1">
      <alignment horizontal="left"/>
    </xf>
    <xf numFmtId="0" fontId="17" fillId="0" borderId="0" xfId="0" applyFont="1" applyAlignment="1">
      <alignment horizontal="right" vertical="center"/>
    </xf>
    <xf numFmtId="0" fontId="17" fillId="0" borderId="0" xfId="0" applyFont="1" applyAlignment="1">
      <alignment horizontal="right"/>
    </xf>
    <xf numFmtId="0" fontId="22" fillId="0" borderId="0" xfId="1" applyFont="1" applyAlignment="1">
      <alignment horizontal="right"/>
    </xf>
    <xf numFmtId="0" fontId="3" fillId="0" borderId="0" xfId="1" applyFont="1" applyAlignment="1">
      <alignment vertical="center"/>
    </xf>
    <xf numFmtId="0" fontId="7" fillId="0" borderId="0" xfId="0" applyFont="1" applyAlignment="1">
      <alignment horizontal="right" vertical="center"/>
    </xf>
    <xf numFmtId="0" fontId="18" fillId="0" borderId="0" xfId="0" applyFont="1" applyAlignment="1">
      <alignment horizontal="left"/>
    </xf>
    <xf numFmtId="165" fontId="16" fillId="0" borderId="0" xfId="0" applyNumberFormat="1" applyFont="1" applyAlignment="1">
      <alignment horizontal="right" vertical="center"/>
    </xf>
    <xf numFmtId="0" fontId="19" fillId="0" borderId="0" xfId="1" applyFont="1" applyAlignment="1">
      <alignment horizontal="left"/>
    </xf>
    <xf numFmtId="0" fontId="27" fillId="0" borderId="0" xfId="0" applyFont="1" applyAlignment="1">
      <alignment horizontal="center" vertical="top"/>
    </xf>
    <xf numFmtId="0" fontId="1" fillId="0" borderId="0" xfId="0" applyFont="1" applyAlignment="1">
      <alignment horizontal="left" vertical="top"/>
    </xf>
    <xf numFmtId="0" fontId="1" fillId="0" borderId="0" xfId="0" applyFont="1" applyAlignment="1">
      <alignment horizontal="center" vertical="center"/>
    </xf>
    <xf numFmtId="0" fontId="31" fillId="0" borderId="0" xfId="0" applyFont="1" applyAlignment="1">
      <alignment horizontal="center"/>
    </xf>
    <xf numFmtId="0" fontId="8" fillId="0" borderId="0" xfId="0" applyFont="1" applyAlignment="1">
      <alignment horizontal="center" vertical="center"/>
    </xf>
    <xf numFmtId="0" fontId="3" fillId="0" borderId="0" xfId="1" applyFont="1" applyAlignment="1">
      <alignment horizontal="right"/>
    </xf>
    <xf numFmtId="0" fontId="32" fillId="0" borderId="0" xfId="0" applyFont="1"/>
    <xf numFmtId="0" fontId="1" fillId="0" borderId="0" xfId="0" applyFont="1" applyAlignment="1">
      <alignment vertical="top"/>
    </xf>
    <xf numFmtId="0" fontId="23" fillId="0" borderId="0" xfId="0" applyFont="1" applyAlignment="1">
      <alignment horizontal="right" vertical="center"/>
    </xf>
    <xf numFmtId="0" fontId="1" fillId="0" borderId="0" xfId="0" applyFont="1" applyProtection="1">
      <protection locked="0"/>
    </xf>
    <xf numFmtId="0" fontId="5" fillId="0" borderId="0" xfId="0" applyFont="1" applyAlignment="1" applyProtection="1">
      <alignment horizontal="center"/>
      <protection locked="0"/>
    </xf>
    <xf numFmtId="0" fontId="24" fillId="0" borderId="0" xfId="0" applyFont="1" applyProtection="1">
      <protection locked="0"/>
    </xf>
    <xf numFmtId="0" fontId="22" fillId="0" borderId="0" xfId="1" applyFont="1" applyProtection="1"/>
    <xf numFmtId="0" fontId="3" fillId="0" borderId="0" xfId="1" applyFont="1" applyAlignment="1" applyProtection="1">
      <alignment horizontal="left" vertical="center"/>
    </xf>
    <xf numFmtId="0" fontId="20" fillId="0" borderId="0" xfId="0" applyFont="1" applyAlignment="1">
      <alignment vertical="center"/>
    </xf>
    <xf numFmtId="0" fontId="3" fillId="0" borderId="0" xfId="1" applyFont="1" applyAlignment="1" applyProtection="1">
      <alignment horizontal="center" vertical="center"/>
    </xf>
    <xf numFmtId="0" fontId="10" fillId="0" borderId="0" xfId="0" applyFont="1" applyAlignment="1">
      <alignment horizontal="center"/>
    </xf>
    <xf numFmtId="0" fontId="5" fillId="0" borderId="0" xfId="0" applyFont="1"/>
    <xf numFmtId="0" fontId="27" fillId="0" borderId="0" xfId="0" applyFont="1" applyAlignment="1">
      <alignment horizontal="right" vertical="top"/>
    </xf>
    <xf numFmtId="0" fontId="33" fillId="0" borderId="0" xfId="0" applyFont="1"/>
    <xf numFmtId="0" fontId="33" fillId="0" borderId="0" xfId="0" applyFont="1" applyAlignment="1">
      <alignment horizontal="center"/>
    </xf>
    <xf numFmtId="0" fontId="5" fillId="0" borderId="0" xfId="0" applyFont="1" applyAlignment="1">
      <alignment horizontal="left"/>
    </xf>
    <xf numFmtId="0" fontId="34" fillId="0" borderId="0" xfId="0" applyFont="1" applyAlignment="1" applyProtection="1">
      <alignment horizontal="center"/>
      <protection locked="0"/>
    </xf>
    <xf numFmtId="0" fontId="35" fillId="2" borderId="4" xfId="0" applyFont="1" applyFill="1" applyBorder="1" applyAlignment="1" applyProtection="1">
      <alignment horizontal="center" vertical="center"/>
      <protection locked="0"/>
    </xf>
    <xf numFmtId="0" fontId="18" fillId="4" borderId="0" xfId="0" applyFont="1" applyFill="1" applyAlignment="1" applyProtection="1">
      <alignment horizontal="left" vertical="center"/>
      <protection locked="0"/>
    </xf>
    <xf numFmtId="0" fontId="0" fillId="4" borderId="0" xfId="0" applyFill="1" applyAlignment="1">
      <alignment horizontal="right"/>
    </xf>
    <xf numFmtId="14" fontId="18" fillId="4" borderId="0" xfId="0" applyNumberFormat="1" applyFont="1" applyFill="1" applyAlignment="1" applyProtection="1">
      <alignment horizontal="left" vertical="center"/>
      <protection locked="0"/>
    </xf>
    <xf numFmtId="0" fontId="6" fillId="4" borderId="0" xfId="0" applyFont="1" applyFill="1" applyAlignment="1">
      <alignment horizontal="right" vertical="center"/>
    </xf>
    <xf numFmtId="0" fontId="0" fillId="4" borderId="0" xfId="0" applyFill="1" applyAlignment="1">
      <alignment horizontal="center"/>
    </xf>
    <xf numFmtId="0" fontId="0" fillId="4" borderId="0" xfId="0" applyFill="1"/>
    <xf numFmtId="0" fontId="13" fillId="0" borderId="0" xfId="0" applyFont="1" applyAlignment="1">
      <alignment horizontal="left"/>
    </xf>
    <xf numFmtId="0" fontId="37" fillId="0" borderId="0" xfId="0" applyFont="1" applyAlignment="1">
      <alignment horizontal="left" vertical="center"/>
    </xf>
    <xf numFmtId="0" fontId="6" fillId="0" borderId="0" xfId="0" applyFont="1" applyAlignment="1">
      <alignment horizontal="left"/>
    </xf>
    <xf numFmtId="0" fontId="25" fillId="0" borderId="0" xfId="1" applyFont="1" applyAlignment="1" applyProtection="1">
      <alignment horizontal="center" vertical="center"/>
    </xf>
    <xf numFmtId="0" fontId="2" fillId="0" borderId="0" xfId="1" applyAlignment="1">
      <alignment horizontal="center"/>
    </xf>
    <xf numFmtId="0" fontId="7" fillId="0" borderId="0" xfId="0" applyFont="1" applyProtection="1">
      <protection locked="0"/>
    </xf>
    <xf numFmtId="0" fontId="14" fillId="0" borderId="0" xfId="0" applyFont="1" applyAlignment="1" applyProtection="1">
      <alignment horizontal="center" vertical="center"/>
      <protection locked="0"/>
    </xf>
    <xf numFmtId="0" fontId="32" fillId="0" borderId="0" xfId="0" applyFont="1" applyAlignment="1">
      <alignment horizontal="center" vertical="center"/>
    </xf>
    <xf numFmtId="0" fontId="0" fillId="0" borderId="0" xfId="0" applyAlignment="1">
      <alignment vertical="center"/>
    </xf>
    <xf numFmtId="0" fontId="20" fillId="0" borderId="0" xfId="0" applyFont="1" applyAlignment="1">
      <alignment vertical="top"/>
    </xf>
    <xf numFmtId="0" fontId="20" fillId="0" borderId="0" xfId="0" applyFont="1" applyProtection="1">
      <protection locked="0"/>
    </xf>
    <xf numFmtId="0" fontId="19" fillId="0" borderId="0" xfId="1" applyFont="1" applyAlignment="1">
      <alignment vertical="center"/>
    </xf>
    <xf numFmtId="0" fontId="26" fillId="0" borderId="0" xfId="0" applyFont="1"/>
    <xf numFmtId="0" fontId="19" fillId="0" borderId="0" xfId="1" applyFont="1" applyFill="1" applyAlignment="1">
      <alignment horizontal="center" vertical="center"/>
    </xf>
    <xf numFmtId="0" fontId="20" fillId="0" borderId="0" xfId="1" applyFont="1" applyAlignment="1">
      <alignment horizontal="left" vertical="center"/>
    </xf>
    <xf numFmtId="0" fontId="21" fillId="0" borderId="0" xfId="1" applyFont="1"/>
    <xf numFmtId="0" fontId="0" fillId="5" borderId="0" xfId="0" applyFill="1"/>
    <xf numFmtId="0" fontId="7" fillId="5" borderId="0" xfId="0" applyFont="1" applyFill="1"/>
    <xf numFmtId="0" fontId="3" fillId="0" borderId="0" xfId="1" applyFont="1" applyAlignment="1">
      <alignment horizontal="left"/>
    </xf>
    <xf numFmtId="0" fontId="7" fillId="0" borderId="0" xfId="0" applyFont="1" applyAlignment="1">
      <alignment vertical="top"/>
    </xf>
    <xf numFmtId="0" fontId="5" fillId="0" borderId="0" xfId="0" applyFont="1" applyAlignment="1">
      <alignment horizontal="center"/>
    </xf>
    <xf numFmtId="165" fontId="21" fillId="0" borderId="0" xfId="0" applyNumberFormat="1" applyFont="1" applyAlignment="1">
      <alignment horizontal="left" vertical="center"/>
    </xf>
    <xf numFmtId="0" fontId="19" fillId="0" borderId="0" xfId="1" applyFont="1" applyFill="1" applyAlignment="1">
      <alignment horizontal="right"/>
    </xf>
    <xf numFmtId="0" fontId="21" fillId="0" borderId="0" xfId="1" applyFont="1" applyFill="1" applyBorder="1" applyAlignment="1" applyProtection="1">
      <alignment horizontal="left" vertical="center"/>
      <protection locked="0"/>
    </xf>
    <xf numFmtId="0" fontId="19" fillId="0" borderId="0" xfId="1" applyFont="1" applyFill="1" applyAlignment="1">
      <alignment horizontal="left"/>
    </xf>
    <xf numFmtId="14" fontId="18" fillId="0" borderId="0" xfId="0" applyNumberFormat="1" applyFont="1" applyAlignment="1" applyProtection="1">
      <alignment horizontal="left" vertical="center"/>
      <protection locked="0"/>
    </xf>
    <xf numFmtId="0" fontId="18" fillId="0" borderId="0" xfId="0" applyFont="1" applyAlignment="1" applyProtection="1">
      <alignment horizontal="left" vertical="center"/>
      <protection locked="0"/>
    </xf>
    <xf numFmtId="0" fontId="26" fillId="0" borderId="0" xfId="0" applyFont="1" applyAlignment="1">
      <alignment horizontal="right"/>
    </xf>
    <xf numFmtId="0" fontId="32" fillId="0" borderId="0" xfId="0" applyFont="1" applyAlignment="1">
      <alignment horizontal="center" vertical="top"/>
    </xf>
    <xf numFmtId="0" fontId="8" fillId="0" borderId="0" xfId="0" applyFont="1" applyAlignment="1">
      <alignment horizontal="left" vertical="center"/>
    </xf>
    <xf numFmtId="0" fontId="30" fillId="0" borderId="0" xfId="0" applyFont="1" applyAlignment="1">
      <alignment horizontal="right" vertical="center"/>
    </xf>
    <xf numFmtId="0" fontId="8" fillId="0" borderId="0" xfId="0" applyFont="1" applyAlignment="1">
      <alignment vertical="center"/>
    </xf>
    <xf numFmtId="0" fontId="39" fillId="3" borderId="4" xfId="0" applyFont="1" applyFill="1" applyBorder="1" applyAlignment="1" applyProtection="1">
      <alignment horizontal="center" vertical="center"/>
      <protection locked="0"/>
    </xf>
    <xf numFmtId="0" fontId="13" fillId="0" borderId="0" xfId="0" applyFont="1" applyAlignment="1">
      <alignment horizontal="right"/>
    </xf>
    <xf numFmtId="0" fontId="31" fillId="0" borderId="0" xfId="0" applyFont="1" applyAlignment="1">
      <alignment horizontal="right" vertical="center"/>
    </xf>
    <xf numFmtId="0" fontId="21" fillId="0" borderId="0" xfId="0" applyFont="1" applyAlignment="1">
      <alignment horizontal="left" vertical="center"/>
    </xf>
    <xf numFmtId="0" fontId="29" fillId="0" borderId="0" xfId="1" applyFont="1" applyAlignment="1">
      <alignment horizontal="left" vertical="top"/>
    </xf>
    <xf numFmtId="0" fontId="7" fillId="0" borderId="0" xfId="0" applyFont="1" applyAlignment="1">
      <alignment horizontal="left" vertical="center"/>
    </xf>
    <xf numFmtId="0" fontId="29" fillId="0" borderId="0" xfId="1" applyFont="1" applyAlignment="1">
      <alignment horizontal="left" vertical="center"/>
    </xf>
    <xf numFmtId="0" fontId="21" fillId="0" borderId="0" xfId="0" applyFont="1" applyAlignment="1">
      <alignment horizontal="right" vertical="center"/>
    </xf>
    <xf numFmtId="1" fontId="0" fillId="0" borderId="0" xfId="0" applyNumberFormat="1"/>
    <xf numFmtId="0" fontId="42" fillId="0" borderId="0" xfId="0" applyFont="1" applyAlignment="1">
      <alignment horizontal="right" vertical="center" wrapText="1"/>
    </xf>
    <xf numFmtId="49" fontId="7" fillId="0" borderId="0" xfId="0" applyNumberFormat="1" applyFont="1" applyAlignment="1">
      <alignment horizontal="right"/>
    </xf>
    <xf numFmtId="49" fontId="19" fillId="0" borderId="0" xfId="1" applyNumberFormat="1" applyFont="1" applyAlignment="1">
      <alignment horizontal="right" vertical="center"/>
    </xf>
    <xf numFmtId="49" fontId="17" fillId="0" borderId="0" xfId="0" applyNumberFormat="1" applyFont="1" applyAlignment="1">
      <alignment horizontal="right" vertical="center"/>
    </xf>
    <xf numFmtId="49" fontId="17" fillId="0" borderId="0" xfId="0" applyNumberFormat="1" applyFont="1" applyAlignment="1">
      <alignment horizontal="right"/>
    </xf>
    <xf numFmtId="49" fontId="26" fillId="0" borderId="0" xfId="0" applyNumberFormat="1" applyFont="1" applyAlignment="1">
      <alignment horizontal="right" vertical="top"/>
    </xf>
    <xf numFmtId="49" fontId="0" fillId="0" borderId="0" xfId="0" applyNumberFormat="1" applyAlignment="1">
      <alignment horizontal="right"/>
    </xf>
    <xf numFmtId="49" fontId="0" fillId="4" borderId="0" xfId="0" applyNumberFormat="1" applyFill="1" applyAlignment="1">
      <alignment horizontal="right"/>
    </xf>
    <xf numFmtId="49" fontId="25" fillId="0" borderId="0" xfId="0" applyNumberFormat="1" applyFont="1" applyAlignment="1">
      <alignment horizontal="right"/>
    </xf>
    <xf numFmtId="49" fontId="19" fillId="0" borderId="0" xfId="1" applyNumberFormat="1" applyFont="1" applyAlignment="1">
      <alignment horizontal="right"/>
    </xf>
    <xf numFmtId="49" fontId="18" fillId="0" borderId="0" xfId="0" applyNumberFormat="1" applyFont="1" applyAlignment="1">
      <alignment horizontal="right" vertical="center"/>
    </xf>
    <xf numFmtId="49" fontId="0" fillId="5" borderId="0" xfId="0" applyNumberFormat="1" applyFill="1" applyAlignment="1">
      <alignment horizontal="right"/>
    </xf>
    <xf numFmtId="49" fontId="5" fillId="0" borderId="0" xfId="0" applyNumberFormat="1" applyFont="1" applyAlignment="1">
      <alignment horizontal="right"/>
    </xf>
    <xf numFmtId="0" fontId="10" fillId="0" borderId="0" xfId="0" applyFont="1" applyAlignment="1">
      <alignment horizontal="left"/>
    </xf>
    <xf numFmtId="0" fontId="10" fillId="0" borderId="0" xfId="0" applyFont="1"/>
    <xf numFmtId="49" fontId="30" fillId="0" borderId="0" xfId="0" applyNumberFormat="1" applyFont="1" applyAlignment="1">
      <alignment horizontal="left" vertical="center"/>
    </xf>
    <xf numFmtId="0" fontId="7" fillId="3" borderId="4" xfId="0" applyFont="1" applyFill="1" applyBorder="1" applyAlignment="1" applyProtection="1">
      <alignment horizontal="center" vertical="center"/>
      <protection locked="0"/>
    </xf>
    <xf numFmtId="0" fontId="44" fillId="0" borderId="0" xfId="0" applyFont="1" applyAlignment="1">
      <alignment horizontal="center"/>
    </xf>
    <xf numFmtId="0" fontId="45" fillId="0" borderId="0" xfId="0" applyFont="1" applyAlignment="1">
      <alignment horizontal="center"/>
    </xf>
    <xf numFmtId="0" fontId="26" fillId="0" borderId="0" xfId="0" applyFont="1" applyAlignment="1">
      <alignment horizontal="center"/>
    </xf>
    <xf numFmtId="0" fontId="39" fillId="0" borderId="0" xfId="0" applyFont="1" applyAlignment="1">
      <alignment horizontal="center"/>
    </xf>
    <xf numFmtId="0" fontId="44" fillId="0" borderId="0" xfId="0" applyFont="1" applyAlignment="1">
      <alignment horizontal="left"/>
    </xf>
    <xf numFmtId="0" fontId="1" fillId="0" borderId="0" xfId="0" applyFont="1" applyAlignment="1">
      <alignment horizontal="left" vertical="center"/>
    </xf>
    <xf numFmtId="49" fontId="7" fillId="0" borderId="0" xfId="0" applyNumberFormat="1" applyFont="1" applyAlignment="1">
      <alignment horizontal="left"/>
    </xf>
    <xf numFmtId="0" fontId="31" fillId="0" borderId="0" xfId="0" applyFont="1" applyAlignment="1">
      <alignment horizontal="right"/>
    </xf>
    <xf numFmtId="0" fontId="31" fillId="0" borderId="0" xfId="0" applyFont="1" applyAlignment="1" applyProtection="1">
      <alignment horizontal="center"/>
      <protection locked="0"/>
    </xf>
    <xf numFmtId="0" fontId="40" fillId="0" borderId="0" xfId="0" applyFont="1" applyAlignment="1">
      <alignment horizontal="left"/>
    </xf>
    <xf numFmtId="0" fontId="47" fillId="0" borderId="0" xfId="0" applyFont="1"/>
    <xf numFmtId="0" fontId="45" fillId="0" borderId="0" xfId="0" applyFont="1"/>
    <xf numFmtId="0" fontId="48" fillId="0" borderId="0" xfId="0" applyFont="1" applyAlignment="1">
      <alignment horizontal="right"/>
    </xf>
    <xf numFmtId="0" fontId="44" fillId="0" borderId="0" xfId="0" applyFont="1" applyAlignment="1">
      <alignment horizontal="right"/>
    </xf>
    <xf numFmtId="0" fontId="48" fillId="0" borderId="0" xfId="0" applyFont="1" applyAlignment="1">
      <alignment horizontal="right" vertical="center"/>
    </xf>
    <xf numFmtId="0" fontId="44" fillId="0" borderId="0" xfId="0" applyFont="1" applyAlignment="1">
      <alignment horizontal="center" vertical="center"/>
    </xf>
    <xf numFmtId="0" fontId="48" fillId="0" borderId="0" xfId="0" applyFont="1" applyAlignment="1">
      <alignment horizontal="center" vertical="center"/>
    </xf>
    <xf numFmtId="0" fontId="29" fillId="0" borderId="0" xfId="0" applyFont="1" applyAlignment="1">
      <alignment horizontal="left"/>
    </xf>
    <xf numFmtId="0" fontId="31" fillId="0" borderId="0" xfId="0" applyFont="1"/>
    <xf numFmtId="49" fontId="31" fillId="0" borderId="0" xfId="0" applyNumberFormat="1" applyFont="1" applyAlignment="1">
      <alignment horizontal="right" vertical="center"/>
    </xf>
    <xf numFmtId="0" fontId="29" fillId="0" borderId="0" xfId="0" applyFont="1"/>
    <xf numFmtId="0" fontId="21" fillId="0" borderId="0" xfId="0" applyFont="1" applyAlignment="1">
      <alignment horizontal="right"/>
    </xf>
    <xf numFmtId="49" fontId="5" fillId="0" borderId="0" xfId="0" applyNumberFormat="1" applyFont="1" applyAlignment="1">
      <alignment horizontal="left"/>
    </xf>
    <xf numFmtId="0" fontId="19" fillId="0" borderId="0" xfId="1" applyFont="1" applyFill="1" applyAlignment="1" applyProtection="1">
      <alignment horizontal="left" vertical="center"/>
      <protection locked="0"/>
    </xf>
    <xf numFmtId="0" fontId="0" fillId="0" borderId="0" xfId="0" applyAlignment="1">
      <alignment horizontal="right" vertical="center"/>
    </xf>
    <xf numFmtId="0" fontId="21" fillId="0" borderId="0" xfId="0" applyFont="1" applyProtection="1">
      <protection locked="0"/>
    </xf>
    <xf numFmtId="0" fontId="50" fillId="3" borderId="4" xfId="0" applyFont="1" applyFill="1" applyBorder="1" applyAlignment="1" applyProtection="1">
      <alignment horizontal="center" vertical="center" wrapText="1"/>
      <protection locked="0"/>
    </xf>
    <xf numFmtId="0" fontId="49" fillId="0" borderId="0" xfId="0" applyFont="1"/>
    <xf numFmtId="0" fontId="13" fillId="0" borderId="4" xfId="0" applyFont="1" applyBorder="1" applyAlignment="1">
      <alignment horizontal="right"/>
    </xf>
    <xf numFmtId="0" fontId="0" fillId="0" borderId="4" xfId="0" applyBorder="1" applyAlignment="1">
      <alignment horizontal="right"/>
    </xf>
    <xf numFmtId="0" fontId="26" fillId="0" borderId="0" xfId="0" applyFont="1" applyAlignment="1" applyProtection="1">
      <alignment horizontal="left" vertical="center"/>
      <protection locked="0"/>
    </xf>
    <xf numFmtId="165" fontId="16" fillId="0" borderId="0" xfId="0" applyNumberFormat="1" applyFont="1" applyAlignment="1" applyProtection="1">
      <alignment horizontal="left" vertical="center"/>
      <protection locked="0"/>
    </xf>
    <xf numFmtId="0" fontId="17" fillId="0" borderId="0" xfId="0" applyFont="1" applyAlignment="1" applyProtection="1">
      <alignment horizontal="right"/>
      <protection locked="0"/>
    </xf>
    <xf numFmtId="0" fontId="23" fillId="0" borderId="0" xfId="0" applyFont="1" applyAlignment="1" applyProtection="1">
      <alignment horizontal="center" vertical="center"/>
      <protection locked="0"/>
    </xf>
    <xf numFmtId="0" fontId="18" fillId="0" borderId="0" xfId="0" applyFont="1" applyAlignment="1" applyProtection="1">
      <alignment horizontal="left"/>
      <protection locked="0"/>
    </xf>
    <xf numFmtId="0" fontId="26" fillId="0" borderId="0" xfId="1" applyFont="1" applyFill="1" applyAlignment="1" applyProtection="1">
      <alignment horizontal="left" vertical="center"/>
    </xf>
    <xf numFmtId="0" fontId="22" fillId="0" borderId="0" xfId="1" applyFont="1" applyFill="1" applyProtection="1"/>
    <xf numFmtId="0" fontId="3" fillId="0" borderId="0" xfId="1" applyFont="1" applyFill="1" applyAlignment="1" applyProtection="1">
      <alignment horizontal="left" vertical="center"/>
    </xf>
    <xf numFmtId="0" fontId="41" fillId="0" borderId="0" xfId="0" applyFont="1" applyAlignment="1">
      <alignment horizontal="center" vertical="center" wrapText="1"/>
    </xf>
    <xf numFmtId="0" fontId="14" fillId="0" borderId="0" xfId="0" applyFont="1" applyAlignment="1">
      <alignment horizontal="center"/>
    </xf>
    <xf numFmtId="0" fontId="3" fillId="0" borderId="0" xfId="1" applyFont="1" applyFill="1" applyBorder="1" applyAlignment="1" applyProtection="1">
      <alignment horizontal="left" vertical="center"/>
      <protection locked="0"/>
    </xf>
    <xf numFmtId="14" fontId="17" fillId="0" borderId="0" xfId="0" applyNumberFormat="1" applyFont="1" applyAlignment="1" applyProtection="1">
      <alignment horizontal="right"/>
      <protection locked="0"/>
    </xf>
    <xf numFmtId="0" fontId="1" fillId="0" borderId="0" xfId="0" applyFont="1" applyAlignment="1">
      <alignment horizontal="center"/>
    </xf>
    <xf numFmtId="0" fontId="54" fillId="0" borderId="4" xfId="0" applyFont="1" applyBorder="1" applyAlignment="1">
      <alignment horizontal="left"/>
    </xf>
    <xf numFmtId="0" fontId="54" fillId="0" borderId="0" xfId="0" applyFont="1"/>
    <xf numFmtId="0" fontId="54" fillId="0" borderId="0" xfId="0" applyFont="1" applyAlignment="1">
      <alignment horizontal="left"/>
    </xf>
    <xf numFmtId="0" fontId="5" fillId="0" borderId="0" xfId="0" applyFont="1" applyAlignment="1">
      <alignment horizontal="right"/>
    </xf>
    <xf numFmtId="0" fontId="5" fillId="0" borderId="4" xfId="0" applyFont="1" applyBorder="1"/>
    <xf numFmtId="0" fontId="0" fillId="0" borderId="4" xfId="0" applyBorder="1"/>
    <xf numFmtId="0" fontId="56" fillId="0" borderId="0" xfId="0" applyFont="1" applyAlignment="1">
      <alignment horizontal="left"/>
    </xf>
    <xf numFmtId="0" fontId="39" fillId="0" borderId="4" xfId="0" applyFont="1" applyBorder="1" applyAlignment="1" applyProtection="1">
      <alignment horizontal="center" vertical="center"/>
      <protection locked="0"/>
    </xf>
    <xf numFmtId="0" fontId="26" fillId="0" borderId="4" xfId="0" applyFont="1" applyBorder="1" applyAlignment="1" applyProtection="1">
      <alignment horizontal="center" vertical="center"/>
      <protection locked="0"/>
    </xf>
    <xf numFmtId="0" fontId="57" fillId="0" borderId="4" xfId="0" applyFont="1" applyBorder="1" applyAlignment="1" applyProtection="1">
      <alignment horizontal="center" vertical="center"/>
      <protection locked="0"/>
    </xf>
    <xf numFmtId="0" fontId="13" fillId="0" borderId="0" xfId="0" applyFont="1" applyAlignment="1">
      <alignment horizontal="center"/>
    </xf>
    <xf numFmtId="0" fontId="13" fillId="0" borderId="4" xfId="0" applyFont="1" applyBorder="1" applyAlignment="1">
      <alignment horizontal="center"/>
    </xf>
    <xf numFmtId="0" fontId="0" fillId="0" borderId="4" xfId="0" applyBorder="1" applyAlignment="1">
      <alignment horizontal="center"/>
    </xf>
    <xf numFmtId="0" fontId="58" fillId="0" borderId="4" xfId="0" applyFont="1" applyBorder="1" applyAlignment="1" applyProtection="1">
      <alignment horizontal="center" vertical="center"/>
      <protection locked="0"/>
    </xf>
    <xf numFmtId="0" fontId="49" fillId="0" borderId="5" xfId="0" applyFont="1" applyBorder="1" applyAlignment="1">
      <alignment horizontal="center"/>
    </xf>
    <xf numFmtId="0" fontId="49" fillId="0" borderId="6" xfId="0" applyFont="1" applyBorder="1" applyAlignment="1">
      <alignment horizontal="center"/>
    </xf>
    <xf numFmtId="0" fontId="49" fillId="0" borderId="7" xfId="0" applyFont="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8" xfId="0" applyBorder="1"/>
    <xf numFmtId="0" fontId="0" fillId="0" borderId="0" xfId="0" applyAlignment="1">
      <alignment horizontal="center" vertical="center"/>
    </xf>
    <xf numFmtId="0" fontId="0" fillId="0" borderId="9" xfId="0" applyBorder="1" applyAlignment="1">
      <alignment horizontal="center" vertical="center"/>
    </xf>
    <xf numFmtId="0" fontId="4" fillId="5" borderId="0" xfId="0" applyFont="1" applyFill="1" applyAlignment="1">
      <alignment horizontal="left" vertical="center"/>
    </xf>
    <xf numFmtId="0" fontId="13" fillId="5" borderId="0" xfId="0" applyFont="1" applyFill="1"/>
    <xf numFmtId="1" fontId="0" fillId="5" borderId="0" xfId="0" applyNumberFormat="1" applyFill="1"/>
    <xf numFmtId="0" fontId="13" fillId="5" borderId="0" xfId="0" applyFont="1" applyFill="1" applyAlignment="1">
      <alignment horizontal="right"/>
    </xf>
    <xf numFmtId="0" fontId="0" fillId="5" borderId="0" xfId="0" applyFill="1" applyAlignment="1">
      <alignment horizontal="center"/>
    </xf>
    <xf numFmtId="0" fontId="0" fillId="5" borderId="0" xfId="0" applyFill="1" applyAlignment="1">
      <alignment horizontal="right"/>
    </xf>
    <xf numFmtId="0" fontId="54" fillId="0" borderId="10" xfId="0" applyFont="1" applyBorder="1" applyAlignment="1">
      <alignment horizontal="left"/>
    </xf>
    <xf numFmtId="0" fontId="54" fillId="0" borderId="4" xfId="0" applyFont="1" applyBorder="1"/>
    <xf numFmtId="0" fontId="0" fillId="7" borderId="0" xfId="0" applyFill="1" applyAlignment="1">
      <alignment horizontal="right" vertical="center"/>
    </xf>
    <xf numFmtId="0" fontId="0" fillId="7" borderId="0" xfId="0" applyFill="1" applyAlignment="1">
      <alignment horizontal="center"/>
    </xf>
    <xf numFmtId="1" fontId="0" fillId="7" borderId="0" xfId="0" applyNumberFormat="1" applyFill="1"/>
    <xf numFmtId="0" fontId="0" fillId="7" borderId="0" xfId="0" applyFill="1" applyAlignment="1">
      <alignment horizontal="right"/>
    </xf>
    <xf numFmtId="0" fontId="0" fillId="7" borderId="0" xfId="0" applyFill="1"/>
    <xf numFmtId="0" fontId="0" fillId="7" borderId="8" xfId="0" applyFill="1" applyBorder="1" applyAlignment="1">
      <alignment horizontal="center"/>
    </xf>
    <xf numFmtId="0" fontId="0" fillId="7" borderId="9" xfId="0" applyFill="1" applyBorder="1" applyAlignment="1">
      <alignment horizontal="center"/>
    </xf>
    <xf numFmtId="0" fontId="54" fillId="7" borderId="4" xfId="0" applyFont="1" applyFill="1" applyBorder="1" applyAlignment="1">
      <alignment horizontal="left"/>
    </xf>
    <xf numFmtId="0" fontId="0" fillId="7" borderId="8" xfId="0" applyFill="1" applyBorder="1"/>
    <xf numFmtId="0" fontId="0" fillId="7" borderId="0" xfId="0" applyFill="1" applyAlignment="1">
      <alignment horizontal="center" vertical="center"/>
    </xf>
    <xf numFmtId="0" fontId="0" fillId="7" borderId="9" xfId="0" applyFill="1" applyBorder="1" applyAlignment="1">
      <alignment horizontal="center" vertical="center"/>
    </xf>
    <xf numFmtId="0" fontId="0" fillId="7" borderId="10" xfId="0" applyFill="1" applyBorder="1" applyAlignment="1">
      <alignment horizontal="center" vertical="center"/>
    </xf>
    <xf numFmtId="0" fontId="0" fillId="7" borderId="11" xfId="0" applyFill="1" applyBorder="1" applyAlignment="1">
      <alignment horizontal="center" vertical="center"/>
    </xf>
    <xf numFmtId="0" fontId="0" fillId="7" borderId="12" xfId="0" applyFill="1" applyBorder="1" applyAlignment="1">
      <alignment horizontal="center" vertical="center"/>
    </xf>
    <xf numFmtId="0" fontId="59" fillId="5" borderId="0" xfId="0" applyFont="1" applyFill="1" applyAlignment="1">
      <alignment horizontal="left"/>
    </xf>
    <xf numFmtId="0" fontId="0" fillId="0" borderId="5" xfId="0" applyBorder="1"/>
    <xf numFmtId="0" fontId="0" fillId="0" borderId="7" xfId="0" applyBorder="1"/>
    <xf numFmtId="0" fontId="0" fillId="0" borderId="10" xfId="0" applyBorder="1"/>
    <xf numFmtId="0" fontId="0" fillId="0" borderId="12" xfId="0" applyBorder="1"/>
    <xf numFmtId="0" fontId="0" fillId="0" borderId="9" xfId="0" applyBorder="1"/>
    <xf numFmtId="0" fontId="5" fillId="0" borderId="4" xfId="0" applyFont="1" applyBorder="1" applyAlignment="1">
      <alignment horizontal="center"/>
    </xf>
    <xf numFmtId="0" fontId="0" fillId="0" borderId="13" xfId="0" applyBorder="1" applyAlignment="1">
      <alignment horizontal="right"/>
    </xf>
    <xf numFmtId="0" fontId="0" fillId="0" borderId="5" xfId="0" applyBorder="1" applyAlignment="1">
      <alignment horizontal="center"/>
    </xf>
    <xf numFmtId="1" fontId="0" fillId="0" borderId="6" xfId="0" applyNumberFormat="1" applyBorder="1"/>
    <xf numFmtId="0" fontId="42" fillId="0" borderId="7" xfId="0" applyFont="1" applyBorder="1" applyAlignment="1">
      <alignment horizontal="right"/>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right"/>
    </xf>
    <xf numFmtId="0" fontId="7" fillId="0" borderId="0" xfId="0" applyFont="1" applyAlignment="1" applyProtection="1">
      <alignment horizontal="center" vertical="center"/>
      <protection locked="0"/>
    </xf>
    <xf numFmtId="0" fontId="0" fillId="0" borderId="6" xfId="0" applyBorder="1"/>
    <xf numFmtId="0" fontId="0" fillId="0" borderId="11" xfId="0" applyBorder="1"/>
    <xf numFmtId="0" fontId="13" fillId="0" borderId="5" xfId="0" applyFont="1" applyBorder="1"/>
    <xf numFmtId="0" fontId="7" fillId="0" borderId="0" xfId="0" applyFont="1" applyAlignment="1">
      <alignment horizontal="left" vertical="top"/>
    </xf>
    <xf numFmtId="0" fontId="54" fillId="0" borderId="0" xfId="0" applyFont="1" applyAlignment="1">
      <alignment horizontal="center"/>
    </xf>
    <xf numFmtId="0" fontId="0" fillId="0" borderId="11" xfId="0" applyBorder="1" applyAlignment="1">
      <alignment horizontal="right"/>
    </xf>
    <xf numFmtId="0" fontId="0" fillId="0" borderId="0" xfId="0" applyAlignment="1" applyProtection="1">
      <alignment horizontal="left"/>
      <protection locked="0"/>
    </xf>
    <xf numFmtId="165" fontId="26" fillId="0" borderId="0" xfId="0" applyNumberFormat="1" applyFont="1" applyAlignment="1">
      <alignment horizontal="left"/>
    </xf>
    <xf numFmtId="0" fontId="55" fillId="0" borderId="0" xfId="0" applyFont="1" applyAlignment="1" applyProtection="1">
      <alignment horizontal="center"/>
      <protection locked="0"/>
    </xf>
    <xf numFmtId="0" fontId="46" fillId="0" borderId="0" xfId="0" applyFont="1" applyAlignment="1" applyProtection="1">
      <alignment horizontal="center"/>
      <protection locked="0"/>
    </xf>
    <xf numFmtId="0" fontId="29" fillId="0" borderId="0" xfId="0" applyFont="1" applyProtection="1">
      <protection locked="0"/>
    </xf>
    <xf numFmtId="0" fontId="40" fillId="0" borderId="0" xfId="0" applyFont="1"/>
    <xf numFmtId="0" fontId="18" fillId="0" borderId="0" xfId="0" applyFont="1" applyAlignment="1">
      <alignment horizontal="center"/>
    </xf>
    <xf numFmtId="0" fontId="51" fillId="0" borderId="4" xfId="0" applyFont="1" applyBorder="1" applyAlignment="1">
      <alignment horizontal="center"/>
    </xf>
    <xf numFmtId="49" fontId="5" fillId="0" borderId="0" xfId="0" applyNumberFormat="1" applyFont="1"/>
    <xf numFmtId="0" fontId="6" fillId="0" borderId="0" xfId="0" applyFont="1" applyAlignment="1">
      <alignment horizontal="left" vertical="center"/>
    </xf>
    <xf numFmtId="0" fontId="37" fillId="0" borderId="0" xfId="0" applyFont="1" applyAlignment="1">
      <alignment horizontal="left"/>
    </xf>
    <xf numFmtId="0" fontId="8" fillId="5" borderId="0" xfId="0" applyFont="1" applyFill="1" applyAlignment="1">
      <alignment horizontal="left"/>
    </xf>
    <xf numFmtId="49" fontId="54" fillId="0" borderId="0" xfId="0" applyNumberFormat="1" applyFont="1"/>
    <xf numFmtId="49" fontId="26" fillId="0" borderId="0" xfId="0" applyNumberFormat="1" applyFont="1" applyAlignment="1">
      <alignment horizontal="left"/>
    </xf>
    <xf numFmtId="0" fontId="0" fillId="0" borderId="8" xfId="0" applyBorder="1" applyAlignment="1">
      <alignment horizontal="right" vertical="center"/>
    </xf>
    <xf numFmtId="0" fontId="0" fillId="0" borderId="9" xfId="0" applyBorder="1" applyAlignment="1">
      <alignment horizontal="right" vertical="center"/>
    </xf>
    <xf numFmtId="0" fontId="0" fillId="0" borderId="8" xfId="0" applyBorder="1" applyAlignment="1">
      <alignment horizontal="right"/>
    </xf>
    <xf numFmtId="0" fontId="0" fillId="0" borderId="9" xfId="0" applyBorder="1" applyAlignment="1">
      <alignment horizontal="right"/>
    </xf>
    <xf numFmtId="0" fontId="39" fillId="0" borderId="11" xfId="0" applyFont="1" applyBorder="1" applyAlignment="1" applyProtection="1">
      <alignment horizontal="center"/>
      <protection locked="0"/>
    </xf>
    <xf numFmtId="165" fontId="26" fillId="0" borderId="0" xfId="0" applyNumberFormat="1" applyFont="1" applyAlignment="1" applyProtection="1">
      <alignment horizontal="center" vertical="center"/>
      <protection locked="0"/>
    </xf>
    <xf numFmtId="0" fontId="5" fillId="0" borderId="0" xfId="1" applyFont="1" applyAlignment="1">
      <alignment horizontal="left"/>
    </xf>
    <xf numFmtId="0" fontId="24" fillId="0" borderId="0" xfId="1" applyFont="1" applyAlignment="1">
      <alignment horizontal="left" vertical="center"/>
    </xf>
    <xf numFmtId="0" fontId="0" fillId="0" borderId="3" xfId="0" applyBorder="1"/>
    <xf numFmtId="0" fontId="5" fillId="0" borderId="1" xfId="0" applyFont="1" applyBorder="1" applyAlignment="1">
      <alignment horizontal="right"/>
    </xf>
    <xf numFmtId="0" fontId="5" fillId="0" borderId="4" xfId="0" applyFont="1" applyBorder="1" applyAlignment="1">
      <alignment horizontal="right"/>
    </xf>
    <xf numFmtId="0" fontId="5" fillId="0" borderId="5" xfId="0" applyFont="1" applyBorder="1" applyAlignment="1">
      <alignment horizontal="center"/>
    </xf>
    <xf numFmtId="0" fontId="44" fillId="0" borderId="0" xfId="0" applyFont="1" applyAlignment="1" applyProtection="1">
      <alignment horizontal="right"/>
      <protection locked="0"/>
    </xf>
    <xf numFmtId="0" fontId="13" fillId="0" borderId="9" xfId="0" applyFont="1" applyBorder="1"/>
    <xf numFmtId="0" fontId="13" fillId="0" borderId="8" xfId="0" applyFont="1" applyBorder="1"/>
    <xf numFmtId="0" fontId="13" fillId="0" borderId="10" xfId="0" applyFont="1" applyBorder="1"/>
    <xf numFmtId="0" fontId="13" fillId="0" borderId="0" xfId="0" applyFont="1" applyAlignment="1" applyProtection="1">
      <alignment horizontal="center"/>
      <protection locked="0"/>
    </xf>
    <xf numFmtId="0" fontId="13" fillId="5" borderId="0" xfId="0" applyFont="1" applyFill="1" applyAlignment="1" applyProtection="1">
      <alignment horizontal="center"/>
      <protection locked="0"/>
    </xf>
    <xf numFmtId="0" fontId="13" fillId="0" borderId="4" xfId="0" applyFont="1" applyBorder="1" applyAlignment="1" applyProtection="1">
      <alignment horizontal="center"/>
      <protection locked="0"/>
    </xf>
    <xf numFmtId="0" fontId="0" fillId="5" borderId="0" xfId="0" applyFill="1" applyAlignment="1" applyProtection="1">
      <alignment horizontal="center"/>
      <protection locked="0"/>
    </xf>
    <xf numFmtId="0" fontId="0" fillId="0" borderId="11" xfId="0" applyBorder="1" applyAlignment="1" applyProtection="1">
      <alignment horizontal="center"/>
      <protection locked="0"/>
    </xf>
    <xf numFmtId="165" fontId="26" fillId="0" borderId="0" xfId="0" applyNumberFormat="1" applyFont="1" applyAlignment="1">
      <alignment horizontal="left" vertical="center"/>
    </xf>
    <xf numFmtId="0" fontId="32" fillId="0" borderId="0" xfId="0" applyFont="1" applyAlignment="1">
      <alignment horizontal="left"/>
    </xf>
    <xf numFmtId="0" fontId="57" fillId="0" borderId="0" xfId="0" applyFont="1" applyAlignment="1" applyProtection="1">
      <alignment horizontal="center" vertical="center"/>
      <protection locked="0"/>
    </xf>
    <xf numFmtId="0" fontId="62" fillId="0" borderId="0" xfId="0" applyFont="1" applyAlignment="1" applyProtection="1">
      <alignment horizontal="left" vertical="center"/>
      <protection locked="0"/>
    </xf>
    <xf numFmtId="0" fontId="17" fillId="0" borderId="0" xfId="0" applyFont="1" applyAlignment="1" applyProtection="1">
      <alignment horizontal="center"/>
      <protection locked="0"/>
    </xf>
    <xf numFmtId="0" fontId="17" fillId="0" borderId="0" xfId="0" applyFont="1" applyAlignment="1">
      <alignment horizontal="center"/>
    </xf>
    <xf numFmtId="14" fontId="17" fillId="0" borderId="0" xfId="0" applyNumberFormat="1" applyFont="1" applyAlignment="1" applyProtection="1">
      <alignment horizontal="center"/>
      <protection locked="0"/>
    </xf>
    <xf numFmtId="49" fontId="17" fillId="0" borderId="0" xfId="0" applyNumberFormat="1" applyFont="1" applyAlignment="1">
      <alignment horizontal="center"/>
    </xf>
    <xf numFmtId="0" fontId="26" fillId="0" borderId="0" xfId="0" applyFont="1" applyAlignment="1" applyProtection="1">
      <alignment horizontal="center" vertical="center"/>
      <protection locked="0"/>
    </xf>
    <xf numFmtId="0" fontId="25" fillId="0" borderId="0" xfId="1" applyFont="1" applyAlignment="1" applyProtection="1">
      <alignment horizontal="left"/>
    </xf>
    <xf numFmtId="0" fontId="25" fillId="0" borderId="0" xfId="1" applyFont="1" applyAlignment="1" applyProtection="1">
      <alignment horizontal="left" vertical="center"/>
    </xf>
    <xf numFmtId="49" fontId="25" fillId="0" borderId="0" xfId="0" applyNumberFormat="1" applyFont="1" applyAlignment="1">
      <alignment horizontal="left"/>
    </xf>
    <xf numFmtId="0" fontId="39" fillId="0" borderId="0" xfId="0" applyFont="1" applyAlignment="1" applyProtection="1">
      <alignment horizontal="center" vertical="center"/>
      <protection locked="0"/>
    </xf>
    <xf numFmtId="0" fontId="48" fillId="0" borderId="0" xfId="1" applyFont="1" applyFill="1" applyAlignment="1" applyProtection="1">
      <alignment horizontal="left" vertical="center"/>
    </xf>
    <xf numFmtId="0" fontId="58" fillId="0" borderId="2" xfId="0" applyFont="1" applyBorder="1" applyAlignment="1">
      <alignment horizontal="center" vertical="center" wrapText="1"/>
    </xf>
    <xf numFmtId="0" fontId="58" fillId="0" borderId="2" xfId="1" applyFont="1" applyFill="1" applyBorder="1" applyAlignment="1" applyProtection="1">
      <alignment horizontal="center" vertical="center"/>
    </xf>
    <xf numFmtId="0" fontId="37" fillId="3" borderId="0" xfId="0" applyFont="1" applyFill="1" applyAlignment="1">
      <alignment horizontal="left" vertical="center"/>
    </xf>
    <xf numFmtId="0" fontId="14" fillId="3" borderId="0" xfId="0" applyFont="1" applyFill="1" applyAlignment="1" applyProtection="1">
      <alignment horizontal="left" vertical="center"/>
      <protection locked="0"/>
    </xf>
    <xf numFmtId="0" fontId="57" fillId="3" borderId="0" xfId="0" applyFont="1" applyFill="1" applyAlignment="1" applyProtection="1">
      <alignment horizontal="center" vertical="center"/>
      <protection locked="0"/>
    </xf>
    <xf numFmtId="0" fontId="18" fillId="3" borderId="0" xfId="0" applyFont="1" applyFill="1" applyAlignment="1" applyProtection="1">
      <alignment horizontal="left" vertical="center"/>
      <protection locked="0"/>
    </xf>
    <xf numFmtId="0" fontId="0" fillId="3" borderId="0" xfId="0" applyFill="1" applyAlignment="1">
      <alignment horizontal="right"/>
    </xf>
    <xf numFmtId="14" fontId="18" fillId="3" borderId="0" xfId="0" applyNumberFormat="1" applyFont="1" applyFill="1" applyAlignment="1" applyProtection="1">
      <alignment horizontal="left" vertical="center"/>
      <protection locked="0"/>
    </xf>
    <xf numFmtId="0" fontId="6" fillId="3" borderId="0" xfId="0" applyFont="1" applyFill="1" applyAlignment="1">
      <alignment horizontal="right" vertical="center"/>
    </xf>
    <xf numFmtId="0" fontId="0" fillId="3" borderId="0" xfId="0" applyFill="1" applyAlignment="1">
      <alignment horizontal="center"/>
    </xf>
    <xf numFmtId="49" fontId="0" fillId="3" borderId="0" xfId="0" applyNumberFormat="1" applyFill="1" applyAlignment="1">
      <alignment horizontal="right"/>
    </xf>
    <xf numFmtId="0" fontId="0" fillId="3" borderId="0" xfId="0" applyFill="1"/>
    <xf numFmtId="0" fontId="14" fillId="3" borderId="0" xfId="0" applyFont="1" applyFill="1" applyAlignment="1">
      <alignment horizontal="left"/>
    </xf>
    <xf numFmtId="14" fontId="14" fillId="3" borderId="0" xfId="0" applyNumberFormat="1" applyFont="1" applyFill="1" applyAlignment="1" applyProtection="1">
      <alignment horizontal="left" vertical="center"/>
      <protection locked="0"/>
    </xf>
    <xf numFmtId="49" fontId="14" fillId="3" borderId="0" xfId="0" applyNumberFormat="1" applyFont="1" applyFill="1" applyAlignment="1">
      <alignment horizontal="right"/>
    </xf>
    <xf numFmtId="0" fontId="14" fillId="3" borderId="0" xfId="0" applyFont="1" applyFill="1"/>
    <xf numFmtId="0" fontId="13" fillId="3" borderId="0" xfId="0" applyFont="1" applyFill="1" applyAlignment="1">
      <alignment horizontal="left"/>
    </xf>
    <xf numFmtId="0" fontId="62" fillId="3" borderId="0" xfId="0" applyFont="1" applyFill="1" applyAlignment="1" applyProtection="1">
      <alignment horizontal="left" vertical="center"/>
      <protection locked="0"/>
    </xf>
    <xf numFmtId="0" fontId="4" fillId="3" borderId="0" xfId="0" applyFont="1" applyFill="1" applyAlignment="1">
      <alignment horizontal="left" vertical="center"/>
    </xf>
    <xf numFmtId="0" fontId="26" fillId="3" borderId="0" xfId="0" applyFont="1" applyFill="1" applyAlignment="1" applyProtection="1">
      <alignment horizontal="center" vertical="center"/>
      <protection locked="0"/>
    </xf>
    <xf numFmtId="0" fontId="17" fillId="3" borderId="0" xfId="0" applyFont="1" applyFill="1" applyAlignment="1" applyProtection="1">
      <alignment horizontal="right"/>
      <protection locked="0"/>
    </xf>
    <xf numFmtId="0" fontId="17" fillId="3" borderId="0" xfId="0" applyFont="1" applyFill="1" applyAlignment="1">
      <alignment horizontal="right"/>
    </xf>
    <xf numFmtId="14" fontId="17" fillId="3" borderId="0" xfId="0" applyNumberFormat="1" applyFont="1" applyFill="1" applyAlignment="1" applyProtection="1">
      <alignment horizontal="right"/>
      <protection locked="0"/>
    </xf>
    <xf numFmtId="49" fontId="17" fillId="3" borderId="0" xfId="0" applyNumberFormat="1" applyFont="1" applyFill="1" applyAlignment="1">
      <alignment horizontal="right"/>
    </xf>
    <xf numFmtId="0" fontId="32" fillId="3" borderId="0" xfId="0" applyFont="1" applyFill="1" applyAlignment="1">
      <alignment horizontal="center" vertical="center"/>
    </xf>
    <xf numFmtId="0" fontId="22" fillId="3" borderId="0" xfId="1" applyFont="1" applyFill="1" applyProtection="1"/>
    <xf numFmtId="0" fontId="3" fillId="3" borderId="0" xfId="1" applyFont="1" applyFill="1" applyAlignment="1" applyProtection="1">
      <alignment horizontal="left" vertical="center"/>
    </xf>
    <xf numFmtId="165" fontId="16" fillId="3" borderId="0" xfId="0" applyNumberFormat="1" applyFont="1" applyFill="1" applyAlignment="1">
      <alignment horizontal="right" vertical="center"/>
    </xf>
    <xf numFmtId="0" fontId="32" fillId="3" borderId="0" xfId="0" applyFont="1" applyFill="1" applyAlignment="1">
      <alignment horizontal="left"/>
    </xf>
    <xf numFmtId="0" fontId="0" fillId="3" borderId="0" xfId="0" applyFill="1" applyAlignment="1">
      <alignment horizontal="left"/>
    </xf>
    <xf numFmtId="0" fontId="39" fillId="3" borderId="0" xfId="0" applyFont="1" applyFill="1" applyAlignment="1" applyProtection="1">
      <alignment horizontal="center" vertical="center"/>
      <protection locked="0"/>
    </xf>
    <xf numFmtId="0" fontId="25" fillId="3" borderId="0" xfId="1" applyFont="1" applyFill="1" applyAlignment="1" applyProtection="1">
      <alignment horizontal="center" vertical="center"/>
    </xf>
    <xf numFmtId="49" fontId="25" fillId="3" borderId="0" xfId="0" applyNumberFormat="1" applyFont="1" applyFill="1" applyAlignment="1">
      <alignment horizontal="right"/>
    </xf>
    <xf numFmtId="0" fontId="4" fillId="3" borderId="0" xfId="0" applyFont="1" applyFill="1" applyAlignment="1">
      <alignment horizontal="center" vertical="center"/>
    </xf>
    <xf numFmtId="0" fontId="7" fillId="3" borderId="0" xfId="0" applyFont="1" applyFill="1" applyAlignment="1">
      <alignment horizontal="right"/>
    </xf>
    <xf numFmtId="49" fontId="7" fillId="3" borderId="0" xfId="0" applyNumberFormat="1" applyFont="1" applyFill="1" applyAlignment="1">
      <alignment horizontal="right"/>
    </xf>
    <xf numFmtId="0" fontId="20" fillId="3" borderId="0" xfId="0" applyFont="1" applyFill="1"/>
    <xf numFmtId="0" fontId="14" fillId="3" borderId="0" xfId="0" applyFont="1" applyFill="1" applyAlignment="1" applyProtection="1">
      <alignment horizontal="center" vertical="center"/>
      <protection locked="0"/>
    </xf>
    <xf numFmtId="0" fontId="7" fillId="3" borderId="0" xfId="0" applyFont="1" applyFill="1" applyAlignment="1">
      <alignment vertical="top"/>
    </xf>
    <xf numFmtId="0" fontId="22" fillId="3" borderId="0" xfId="1" applyFont="1" applyFill="1" applyAlignment="1">
      <alignment horizontal="center"/>
    </xf>
    <xf numFmtId="0" fontId="3" fillId="3" borderId="0" xfId="1" applyFont="1" applyFill="1" applyAlignment="1">
      <alignment horizontal="center" vertical="top"/>
    </xf>
    <xf numFmtId="0" fontId="13" fillId="3" borderId="0" xfId="0" applyFont="1" applyFill="1"/>
    <xf numFmtId="0" fontId="3" fillId="0" borderId="0" xfId="1" applyFont="1" applyFill="1" applyAlignment="1">
      <alignment horizontal="left" vertical="top"/>
    </xf>
    <xf numFmtId="14" fontId="18" fillId="4" borderId="0" xfId="0" applyNumberFormat="1" applyFont="1" applyFill="1" applyAlignment="1">
      <alignment horizontal="left" vertical="center"/>
    </xf>
    <xf numFmtId="0" fontId="18" fillId="4" borderId="0" xfId="0" applyFont="1" applyFill="1" applyAlignment="1">
      <alignment horizontal="left" vertical="center"/>
    </xf>
    <xf numFmtId="0" fontId="14" fillId="3" borderId="0" xfId="0" applyFont="1" applyFill="1" applyAlignment="1">
      <alignment horizontal="left" vertical="center"/>
    </xf>
    <xf numFmtId="14" fontId="14" fillId="3" borderId="0" xfId="0" applyNumberFormat="1" applyFont="1" applyFill="1" applyAlignment="1">
      <alignment horizontal="left" vertical="center"/>
    </xf>
    <xf numFmtId="0" fontId="19" fillId="0" borderId="0" xfId="1" applyFont="1" applyFill="1" applyAlignment="1" applyProtection="1">
      <alignment horizontal="left" vertical="center"/>
    </xf>
    <xf numFmtId="0" fontId="18" fillId="0" borderId="0" xfId="0" applyFont="1" applyAlignment="1">
      <alignment horizontal="right" vertical="center"/>
    </xf>
    <xf numFmtId="14" fontId="18" fillId="0" borderId="0" xfId="0" applyNumberFormat="1" applyFont="1" applyAlignment="1">
      <alignment horizontal="left" vertical="center"/>
    </xf>
    <xf numFmtId="0" fontId="26" fillId="0" borderId="0" xfId="0" applyFont="1" applyAlignment="1">
      <alignment horizontal="left" vertical="center"/>
    </xf>
    <xf numFmtId="0" fontId="57" fillId="0" borderId="4" xfId="0" applyFont="1" applyBorder="1" applyAlignment="1">
      <alignment horizontal="center" vertical="center"/>
    </xf>
    <xf numFmtId="0" fontId="18" fillId="0" borderId="0" xfId="0" applyFont="1" applyAlignment="1">
      <alignment horizontal="left" vertical="center"/>
    </xf>
    <xf numFmtId="0" fontId="57" fillId="0" borderId="0" xfId="0" applyFont="1" applyAlignment="1">
      <alignment horizontal="center" vertical="center"/>
    </xf>
    <xf numFmtId="0" fontId="57" fillId="3" borderId="0" xfId="0" applyFont="1" applyFill="1" applyAlignment="1">
      <alignment horizontal="center" vertical="center"/>
    </xf>
    <xf numFmtId="0" fontId="18" fillId="3" borderId="0" xfId="0" applyFont="1" applyFill="1" applyAlignment="1">
      <alignment horizontal="left" vertical="center"/>
    </xf>
    <xf numFmtId="14" fontId="18" fillId="3" borderId="0" xfId="0" applyNumberFormat="1" applyFont="1" applyFill="1" applyAlignment="1">
      <alignment horizontal="left" vertical="center"/>
    </xf>
    <xf numFmtId="0" fontId="62" fillId="3" borderId="0" xfId="0" applyFont="1" applyFill="1" applyAlignment="1">
      <alignment horizontal="left" vertical="center"/>
    </xf>
    <xf numFmtId="0" fontId="62" fillId="0" borderId="0" xfId="0" applyFont="1" applyAlignment="1">
      <alignment horizontal="left" vertical="center"/>
    </xf>
    <xf numFmtId="0" fontId="3" fillId="0" borderId="0" xfId="1" applyFont="1" applyFill="1" applyBorder="1" applyAlignment="1" applyProtection="1">
      <alignment horizontal="left" vertical="center"/>
    </xf>
    <xf numFmtId="14" fontId="17" fillId="0" borderId="0" xfId="0" applyNumberFormat="1" applyFont="1" applyAlignment="1">
      <alignment horizontal="center"/>
    </xf>
    <xf numFmtId="14" fontId="17" fillId="0" borderId="0" xfId="0" applyNumberFormat="1" applyFont="1" applyAlignment="1">
      <alignment horizontal="right"/>
    </xf>
    <xf numFmtId="0" fontId="26" fillId="0" borderId="4" xfId="0" applyFont="1" applyBorder="1" applyAlignment="1">
      <alignment horizontal="center" vertical="center"/>
    </xf>
    <xf numFmtId="0" fontId="68" fillId="0" borderId="8" xfId="0" applyFont="1" applyBorder="1" applyAlignment="1">
      <alignment horizontal="left"/>
    </xf>
    <xf numFmtId="0" fontId="40" fillId="0" borderId="0" xfId="0" applyFont="1" applyAlignment="1">
      <alignment vertical="center"/>
    </xf>
    <xf numFmtId="0" fontId="67" fillId="0" borderId="0" xfId="0" applyFont="1" applyAlignment="1">
      <alignment vertical="center"/>
    </xf>
    <xf numFmtId="0" fontId="26" fillId="0" borderId="0" xfId="0" applyFont="1" applyAlignment="1">
      <alignment horizontal="center" vertical="center"/>
    </xf>
    <xf numFmtId="0" fontId="26" fillId="3" borderId="0" xfId="0" applyFont="1" applyFill="1" applyAlignment="1">
      <alignment horizontal="center" vertical="center"/>
    </xf>
    <xf numFmtId="14" fontId="17" fillId="3" borderId="0" xfId="0" applyNumberFormat="1" applyFont="1" applyFill="1" applyAlignment="1">
      <alignment horizontal="right"/>
    </xf>
    <xf numFmtId="0" fontId="23" fillId="0" borderId="0" xfId="0" applyFont="1" applyAlignment="1">
      <alignment horizontal="center" vertical="center"/>
    </xf>
    <xf numFmtId="0" fontId="19" fillId="0" borderId="0" xfId="1" applyFont="1" applyFill="1" applyAlignment="1" applyProtection="1">
      <alignment horizontal="right"/>
    </xf>
    <xf numFmtId="0" fontId="21" fillId="0" borderId="0" xfId="1" applyFont="1" applyFill="1" applyBorder="1" applyAlignment="1" applyProtection="1">
      <alignment horizontal="left" vertical="center"/>
    </xf>
    <xf numFmtId="0" fontId="19" fillId="0" borderId="0" xfId="1" applyFont="1" applyFill="1" applyAlignment="1" applyProtection="1">
      <alignment horizontal="left"/>
    </xf>
    <xf numFmtId="0" fontId="58" fillId="0" borderId="4" xfId="0" applyFont="1" applyBorder="1" applyAlignment="1">
      <alignment horizontal="center" vertical="center"/>
    </xf>
    <xf numFmtId="0" fontId="39" fillId="0" borderId="4" xfId="0" applyFont="1" applyBorder="1" applyAlignment="1">
      <alignment horizontal="center" vertical="center"/>
    </xf>
    <xf numFmtId="0" fontId="39" fillId="3" borderId="0" xfId="0" applyFont="1" applyFill="1" applyAlignment="1">
      <alignment horizontal="center" vertical="center"/>
    </xf>
    <xf numFmtId="0" fontId="19" fillId="0" borderId="0" xfId="1" applyFont="1" applyProtection="1"/>
    <xf numFmtId="0" fontId="19" fillId="0" borderId="0" xfId="1" applyFont="1" applyAlignment="1" applyProtection="1">
      <alignment horizontal="left" vertical="center"/>
    </xf>
    <xf numFmtId="0" fontId="19" fillId="0" borderId="0" xfId="1" applyFont="1" applyAlignment="1" applyProtection="1">
      <alignment horizontal="center" vertical="center"/>
    </xf>
    <xf numFmtId="49" fontId="19" fillId="0" borderId="0" xfId="1" applyNumberFormat="1" applyFont="1" applyAlignment="1" applyProtection="1">
      <alignment horizontal="right"/>
    </xf>
    <xf numFmtId="0" fontId="3" fillId="0" borderId="0" xfId="1" applyFont="1" applyAlignment="1" applyProtection="1">
      <alignment horizontal="right"/>
    </xf>
    <xf numFmtId="49" fontId="19" fillId="0" borderId="0" xfId="1" applyNumberFormat="1" applyFont="1" applyAlignment="1" applyProtection="1">
      <alignment horizontal="right" vertical="center"/>
    </xf>
    <xf numFmtId="0" fontId="24" fillId="0" borderId="0" xfId="1" applyFont="1" applyAlignment="1" applyProtection="1">
      <alignment horizontal="left" vertical="center"/>
    </xf>
    <xf numFmtId="0" fontId="14" fillId="0" borderId="0" xfId="0" applyFont="1" applyAlignment="1">
      <alignment horizontal="center" vertical="center"/>
    </xf>
    <xf numFmtId="0" fontId="14" fillId="3" borderId="0" xfId="0" applyFont="1" applyFill="1" applyAlignment="1">
      <alignment horizontal="center" vertical="center"/>
    </xf>
    <xf numFmtId="0" fontId="19" fillId="0" borderId="0" xfId="1" applyFont="1" applyAlignment="1" applyProtection="1">
      <alignment horizontal="left" vertical="top"/>
    </xf>
    <xf numFmtId="0" fontId="3" fillId="0" borderId="0" xfId="1" applyFont="1" applyAlignment="1" applyProtection="1">
      <alignment horizontal="left" vertical="top"/>
    </xf>
    <xf numFmtId="0" fontId="19" fillId="0" borderId="0" xfId="1" applyFont="1" applyAlignment="1" applyProtection="1">
      <alignment vertical="center"/>
    </xf>
    <xf numFmtId="0" fontId="19" fillId="0" borderId="0" xfId="1" applyFont="1" applyAlignment="1" applyProtection="1">
      <alignment horizontal="left"/>
    </xf>
    <xf numFmtId="0" fontId="39" fillId="3" borderId="4" xfId="0" applyFont="1" applyFill="1" applyBorder="1" applyAlignment="1">
      <alignment horizontal="center" vertical="center"/>
    </xf>
    <xf numFmtId="0" fontId="20" fillId="0" borderId="0" xfId="1" applyFont="1" applyAlignment="1" applyProtection="1">
      <alignment horizontal="left" vertical="center"/>
    </xf>
    <xf numFmtId="0" fontId="22" fillId="0" borderId="0" xfId="1" applyFont="1" applyAlignment="1" applyProtection="1">
      <alignment horizontal="center"/>
    </xf>
    <xf numFmtId="0" fontId="3" fillId="0" borderId="0" xfId="1" applyFont="1" applyAlignment="1" applyProtection="1">
      <alignment horizontal="center" vertical="top"/>
    </xf>
    <xf numFmtId="0" fontId="22" fillId="3" borderId="0" xfId="1" applyFont="1" applyFill="1" applyAlignment="1" applyProtection="1">
      <alignment horizontal="center"/>
    </xf>
    <xf numFmtId="0" fontId="3" fillId="3" borderId="0" xfId="1" applyFont="1" applyFill="1" applyAlignment="1" applyProtection="1">
      <alignment horizontal="center" vertical="top"/>
    </xf>
    <xf numFmtId="0" fontId="19" fillId="0" borderId="0" xfId="1" applyFont="1" applyAlignment="1" applyProtection="1"/>
    <xf numFmtId="0" fontId="3" fillId="0" borderId="0" xfId="1" applyFont="1" applyProtection="1"/>
    <xf numFmtId="0" fontId="29" fillId="0" borderId="0" xfId="1" applyFont="1" applyAlignment="1" applyProtection="1">
      <alignment horizontal="left" vertical="top"/>
    </xf>
    <xf numFmtId="0" fontId="29" fillId="0" borderId="0" xfId="1" applyFont="1" applyAlignment="1" applyProtection="1">
      <alignment horizontal="left" vertical="center"/>
    </xf>
    <xf numFmtId="0" fontId="22" fillId="0" borderId="0" xfId="1" applyFont="1" applyAlignment="1" applyProtection="1">
      <alignment horizontal="right"/>
    </xf>
    <xf numFmtId="0" fontId="5" fillId="0" borderId="0" xfId="1" applyFont="1" applyAlignment="1" applyProtection="1">
      <alignment horizontal="left"/>
    </xf>
    <xf numFmtId="0" fontId="21" fillId="0" borderId="0" xfId="1" applyFont="1" applyProtection="1"/>
    <xf numFmtId="0" fontId="3" fillId="0" borderId="0" xfId="1" applyFont="1" applyAlignment="1" applyProtection="1">
      <alignment vertical="center"/>
    </xf>
    <xf numFmtId="0" fontId="3" fillId="0" borderId="0" xfId="1" applyFont="1" applyAlignment="1" applyProtection="1">
      <alignment horizontal="left"/>
    </xf>
    <xf numFmtId="165" fontId="26" fillId="0" borderId="0" xfId="0" applyNumberFormat="1" applyFont="1" applyAlignment="1">
      <alignment horizontal="center" vertical="center"/>
    </xf>
    <xf numFmtId="0" fontId="39" fillId="0" borderId="11" xfId="0" applyFont="1" applyBorder="1" applyAlignment="1">
      <alignment horizontal="center"/>
    </xf>
    <xf numFmtId="0" fontId="58" fillId="0" borderId="4" xfId="1" applyFont="1" applyBorder="1" applyAlignment="1" applyProtection="1">
      <alignment horizontal="center" vertical="center"/>
    </xf>
    <xf numFmtId="0" fontId="2" fillId="0" borderId="0" xfId="1" applyFill="1" applyAlignment="1" applyProtection="1">
      <alignment horizontal="left"/>
    </xf>
    <xf numFmtId="0" fontId="66" fillId="3" borderId="0" xfId="0" applyFont="1" applyFill="1"/>
    <xf numFmtId="0" fontId="66" fillId="3" borderId="0" xfId="0" applyFont="1" applyFill="1" applyAlignment="1">
      <alignment horizontal="right"/>
    </xf>
    <xf numFmtId="0" fontId="5" fillId="3" borderId="0" xfId="0" applyFont="1" applyFill="1"/>
    <xf numFmtId="0" fontId="21" fillId="9" borderId="0" xfId="0" applyFont="1" applyFill="1" applyAlignment="1">
      <alignment horizontal="right"/>
    </xf>
    <xf numFmtId="0" fontId="65" fillId="9" borderId="0" xfId="0" applyFont="1" applyFill="1" applyAlignment="1">
      <alignment horizontal="right"/>
    </xf>
    <xf numFmtId="0" fontId="24" fillId="9" borderId="0" xfId="0" applyFont="1" applyFill="1"/>
    <xf numFmtId="0" fontId="5" fillId="9" borderId="0" xfId="0" applyFont="1" applyFill="1"/>
    <xf numFmtId="0" fontId="24" fillId="9" borderId="0" xfId="0" applyFont="1" applyFill="1" applyAlignment="1">
      <alignment horizontal="center"/>
    </xf>
    <xf numFmtId="0" fontId="64" fillId="9" borderId="0" xfId="0" applyFont="1" applyFill="1" applyAlignment="1">
      <alignment horizontal="right" vertical="center"/>
    </xf>
    <xf numFmtId="0" fontId="31" fillId="9" borderId="0" xfId="0" applyFont="1" applyFill="1" applyAlignment="1">
      <alignment horizontal="center" vertical="center"/>
    </xf>
    <xf numFmtId="0" fontId="29" fillId="9" borderId="0" xfId="0" applyFont="1" applyFill="1" applyAlignment="1">
      <alignment horizontal="center"/>
    </xf>
    <xf numFmtId="0" fontId="31" fillId="9" borderId="0" xfId="0" applyFont="1" applyFill="1" applyAlignment="1">
      <alignment horizontal="center"/>
    </xf>
    <xf numFmtId="0" fontId="5" fillId="9" borderId="0" xfId="0" applyFont="1" applyFill="1" applyAlignment="1">
      <alignment horizontal="right"/>
    </xf>
    <xf numFmtId="0" fontId="5" fillId="9" borderId="0" xfId="0" applyFont="1" applyFill="1" applyAlignment="1">
      <alignment horizontal="center"/>
    </xf>
    <xf numFmtId="1" fontId="21" fillId="9" borderId="0" xfId="0" applyNumberFormat="1" applyFont="1" applyFill="1" applyAlignment="1">
      <alignment horizontal="right"/>
    </xf>
    <xf numFmtId="0" fontId="5" fillId="3" borderId="0" xfId="0" applyFont="1" applyFill="1" applyAlignment="1">
      <alignment horizontal="right"/>
    </xf>
    <xf numFmtId="0" fontId="10" fillId="9" borderId="0" xfId="0" applyFont="1" applyFill="1"/>
    <xf numFmtId="0" fontId="10" fillId="9" borderId="0" xfId="0" applyFont="1" applyFill="1" applyAlignment="1">
      <alignment horizontal="center"/>
    </xf>
    <xf numFmtId="0" fontId="21" fillId="9" borderId="0" xfId="0" applyFont="1" applyFill="1" applyAlignment="1">
      <alignment horizontal="left"/>
    </xf>
    <xf numFmtId="0" fontId="0" fillId="9" borderId="0" xfId="0" applyFill="1"/>
    <xf numFmtId="0" fontId="50" fillId="3" borderId="4" xfId="0" applyFont="1" applyFill="1" applyBorder="1" applyAlignment="1" applyProtection="1">
      <alignment horizontal="left" vertical="center" wrapText="1"/>
      <protection locked="0"/>
    </xf>
    <xf numFmtId="0" fontId="13" fillId="5" borderId="0" xfId="0" applyFont="1" applyFill="1" applyAlignment="1">
      <alignment horizontal="center"/>
    </xf>
    <xf numFmtId="0" fontId="0" fillId="8" borderId="0" xfId="0" applyFill="1" applyAlignment="1">
      <alignment horizontal="center"/>
    </xf>
    <xf numFmtId="0" fontId="0" fillId="2" borderId="0" xfId="0" applyFill="1"/>
    <xf numFmtId="0" fontId="0" fillId="0" borderId="6" xfId="0" applyBorder="1" applyAlignment="1">
      <alignment horizontal="center"/>
    </xf>
    <xf numFmtId="0" fontId="5" fillId="8" borderId="4" xfId="0" applyFont="1" applyFill="1" applyBorder="1" applyAlignment="1">
      <alignment horizontal="center" vertical="center"/>
    </xf>
    <xf numFmtId="0" fontId="21" fillId="0" borderId="0" xfId="0" applyFont="1"/>
    <xf numFmtId="0" fontId="52" fillId="6" borderId="0" xfId="0" applyFont="1" applyFill="1" applyAlignment="1" applyProtection="1">
      <alignment horizontal="left" vertical="center"/>
      <protection locked="0"/>
    </xf>
    <xf numFmtId="0" fontId="52" fillId="6"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0" borderId="0" xfId="0"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0" fillId="0" borderId="0" xfId="0" applyAlignment="1" applyProtection="1">
      <alignment horizontal="right"/>
      <protection locked="0"/>
    </xf>
    <xf numFmtId="0" fontId="42" fillId="0" borderId="0" xfId="0" applyFont="1" applyAlignment="1" applyProtection="1">
      <alignment horizontal="right"/>
      <protection locked="0"/>
    </xf>
    <xf numFmtId="0" fontId="52" fillId="6" borderId="0" xfId="0" applyFont="1" applyFill="1" applyProtection="1">
      <protection locked="0"/>
    </xf>
    <xf numFmtId="0" fontId="55" fillId="0" borderId="0" xfId="0" applyFont="1" applyProtection="1">
      <protection locked="0"/>
    </xf>
    <xf numFmtId="0" fontId="55"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49" fontId="0" fillId="3" borderId="5" xfId="0" applyNumberFormat="1" applyFill="1" applyBorder="1" applyAlignment="1" applyProtection="1">
      <alignment horizontal="left" vertical="top" wrapText="1" indent="1" readingOrder="1"/>
      <protection locked="0"/>
    </xf>
    <xf numFmtId="49" fontId="0" fillId="3" borderId="6" xfId="0" applyNumberFormat="1" applyFill="1" applyBorder="1" applyAlignment="1" applyProtection="1">
      <alignment horizontal="left" vertical="top" wrapText="1" indent="1" readingOrder="1"/>
      <protection locked="0"/>
    </xf>
    <xf numFmtId="49" fontId="0" fillId="3" borderId="7" xfId="0" applyNumberFormat="1" applyFill="1" applyBorder="1" applyAlignment="1" applyProtection="1">
      <alignment horizontal="left" vertical="top" wrapText="1" indent="1" readingOrder="1"/>
      <protection locked="0"/>
    </xf>
    <xf numFmtId="49" fontId="0" fillId="3" borderId="8" xfId="0" applyNumberFormat="1" applyFill="1" applyBorder="1" applyAlignment="1" applyProtection="1">
      <alignment horizontal="left" vertical="top" wrapText="1" indent="1" readingOrder="1"/>
      <protection locked="0"/>
    </xf>
    <xf numFmtId="49" fontId="0" fillId="3" borderId="0" xfId="0" applyNumberFormat="1" applyFill="1" applyAlignment="1" applyProtection="1">
      <alignment horizontal="left" vertical="top" wrapText="1" indent="1" readingOrder="1"/>
      <protection locked="0"/>
    </xf>
    <xf numFmtId="49" fontId="0" fillId="3" borderId="9" xfId="0" applyNumberFormat="1" applyFill="1" applyBorder="1" applyAlignment="1" applyProtection="1">
      <alignment horizontal="left" vertical="top" wrapText="1" indent="1" readingOrder="1"/>
      <protection locked="0"/>
    </xf>
    <xf numFmtId="49" fontId="0" fillId="3" borderId="10" xfId="0" applyNumberFormat="1" applyFill="1" applyBorder="1" applyAlignment="1" applyProtection="1">
      <alignment horizontal="left" vertical="top" wrapText="1" indent="1" readingOrder="1"/>
      <protection locked="0"/>
    </xf>
    <xf numFmtId="49" fontId="0" fillId="3" borderId="11" xfId="0" applyNumberFormat="1" applyFill="1" applyBorder="1" applyAlignment="1" applyProtection="1">
      <alignment horizontal="left" vertical="top" wrapText="1" indent="1" readingOrder="1"/>
      <protection locked="0"/>
    </xf>
    <xf numFmtId="49" fontId="0" fillId="3" borderId="12" xfId="0" applyNumberFormat="1" applyFill="1" applyBorder="1" applyAlignment="1" applyProtection="1">
      <alignment horizontal="left" vertical="top" wrapText="1" indent="1" readingOrder="1"/>
      <protection locked="0"/>
    </xf>
    <xf numFmtId="0" fontId="47" fillId="0" borderId="0" xfId="1" applyFont="1" applyFill="1" applyAlignment="1" applyProtection="1">
      <alignment horizontal="left" vertical="center"/>
    </xf>
    <xf numFmtId="49" fontId="0" fillId="0" borderId="0" xfId="0" applyNumberFormat="1" applyAlignment="1" applyProtection="1">
      <alignment horizontal="left" vertical="top" wrapText="1" indent="1" readingOrder="1"/>
      <protection locked="0"/>
    </xf>
    <xf numFmtId="0" fontId="8" fillId="0" borderId="0" xfId="1" applyFont="1" applyProtection="1"/>
    <xf numFmtId="0" fontId="21" fillId="9" borderId="0" xfId="0" applyFont="1" applyFill="1" applyAlignment="1">
      <alignment horizontal="center"/>
    </xf>
    <xf numFmtId="49" fontId="21" fillId="9" borderId="0" xfId="0" applyNumberFormat="1" applyFont="1" applyFill="1" applyAlignment="1">
      <alignment horizontal="center"/>
    </xf>
    <xf numFmtId="0" fontId="10" fillId="9" borderId="0" xfId="0" applyFont="1" applyFill="1" applyAlignment="1" applyProtection="1">
      <alignment horizontal="center"/>
      <protection locked="0"/>
    </xf>
    <xf numFmtId="0" fontId="43" fillId="9" borderId="0" xfId="0" applyFont="1" applyFill="1"/>
    <xf numFmtId="0" fontId="21" fillId="9" borderId="0" xfId="0" applyFont="1" applyFill="1" applyAlignment="1" applyProtection="1">
      <alignment horizontal="center"/>
      <protection locked="0"/>
    </xf>
    <xf numFmtId="14" fontId="67" fillId="0" borderId="0" xfId="0" applyNumberFormat="1" applyFont="1" applyAlignment="1" applyProtection="1">
      <alignment horizontal="left"/>
      <protection locked="0"/>
    </xf>
    <xf numFmtId="0" fontId="58" fillId="0" borderId="0" xfId="0" applyFont="1" applyAlignment="1">
      <alignment horizontal="center" vertical="center" wrapText="1"/>
    </xf>
    <xf numFmtId="0" fontId="38" fillId="0" borderId="0" xfId="0" applyFont="1" applyAlignment="1">
      <alignment vertical="center"/>
    </xf>
    <xf numFmtId="0" fontId="54" fillId="2" borderId="4" xfId="0" applyFont="1" applyFill="1" applyBorder="1" applyAlignment="1">
      <alignment horizontal="left"/>
    </xf>
    <xf numFmtId="0" fontId="54" fillId="4" borderId="4" xfId="0" applyFont="1" applyFill="1" applyBorder="1" applyAlignment="1">
      <alignment horizontal="left"/>
    </xf>
    <xf numFmtId="0" fontId="50" fillId="3" borderId="4" xfId="0" applyFont="1" applyFill="1" applyBorder="1" applyAlignment="1">
      <alignment horizontal="center" vertical="center" wrapText="1"/>
    </xf>
    <xf numFmtId="0" fontId="20" fillId="0" borderId="0" xfId="1" applyFont="1" applyFill="1" applyBorder="1" applyAlignment="1" applyProtection="1">
      <alignment horizontal="right" vertical="center"/>
      <protection locked="0"/>
    </xf>
    <xf numFmtId="0" fontId="68" fillId="0" borderId="0" xfId="0" applyFont="1" applyAlignment="1">
      <alignment horizontal="right"/>
    </xf>
    <xf numFmtId="0" fontId="20" fillId="0" borderId="0" xfId="0" applyFont="1" applyAlignment="1">
      <alignment horizontal="center" vertical="center"/>
    </xf>
    <xf numFmtId="0" fontId="68" fillId="0" borderId="0" xfId="0" applyFont="1" applyAlignment="1">
      <alignment horizontal="center" vertical="center"/>
    </xf>
    <xf numFmtId="0" fontId="20" fillId="0" borderId="0" xfId="1" applyFont="1" applyFill="1" applyBorder="1" applyAlignment="1" applyProtection="1">
      <alignment horizontal="right" vertical="center"/>
    </xf>
    <xf numFmtId="0" fontId="5" fillId="0" borderId="0" xfId="0" applyFont="1" applyAlignment="1" applyProtection="1">
      <alignment horizontal="center" vertical="center"/>
      <protection locked="0"/>
    </xf>
    <xf numFmtId="1" fontId="5" fillId="0" borderId="0" xfId="0" applyNumberFormat="1" applyFont="1"/>
    <xf numFmtId="0" fontId="58" fillId="0" borderId="4" xfId="1" applyFont="1" applyBorder="1" applyAlignment="1">
      <alignment horizontal="center" vertical="center"/>
    </xf>
    <xf numFmtId="0" fontId="0" fillId="3" borderId="4" xfId="0" applyFill="1" applyBorder="1"/>
    <xf numFmtId="0" fontId="20" fillId="9" borderId="0" xfId="0" applyFont="1" applyFill="1" applyAlignment="1">
      <alignment horizontal="right"/>
    </xf>
    <xf numFmtId="0" fontId="68" fillId="9" borderId="0" xfId="0" applyFont="1" applyFill="1" applyAlignment="1">
      <alignment horizontal="right"/>
    </xf>
    <xf numFmtId="0" fontId="21" fillId="3" borderId="0" xfId="0" applyFont="1" applyFill="1" applyAlignment="1">
      <alignment horizontal="center"/>
    </xf>
    <xf numFmtId="0" fontId="5" fillId="3" borderId="0" xfId="0" applyFont="1" applyFill="1" applyAlignment="1">
      <alignment horizontal="center"/>
    </xf>
    <xf numFmtId="0" fontId="21" fillId="3" borderId="0" xfId="0" applyFont="1" applyFill="1" applyAlignment="1">
      <alignment horizontal="right"/>
    </xf>
    <xf numFmtId="0" fontId="29" fillId="3" borderId="0" xfId="0" applyFont="1" applyFill="1" applyAlignment="1">
      <alignment horizontal="center"/>
    </xf>
    <xf numFmtId="0" fontId="38" fillId="3" borderId="0" xfId="0" applyFont="1" applyFill="1" applyAlignment="1">
      <alignment horizontal="right"/>
    </xf>
    <xf numFmtId="0" fontId="23" fillId="6" borderId="0" xfId="0" applyFont="1" applyFill="1" applyAlignment="1">
      <alignment horizontal="right"/>
    </xf>
    <xf numFmtId="0" fontId="71" fillId="9" borderId="0" xfId="0" applyFont="1" applyFill="1" applyAlignment="1">
      <alignment horizontal="right"/>
    </xf>
    <xf numFmtId="1" fontId="0" fillId="0" borderId="0" xfId="0" applyNumberFormat="1" applyAlignment="1">
      <alignment horizontal="center"/>
    </xf>
    <xf numFmtId="0" fontId="21" fillId="9" borderId="10" xfId="0" applyFont="1" applyFill="1" applyBorder="1" applyAlignment="1">
      <alignment horizontal="right"/>
    </xf>
    <xf numFmtId="0" fontId="21" fillId="9" borderId="12" xfId="0" applyFont="1" applyFill="1" applyBorder="1" applyAlignment="1">
      <alignment horizontal="right"/>
    </xf>
    <xf numFmtId="0" fontId="10" fillId="9" borderId="0" xfId="0" applyFont="1" applyFill="1" applyAlignment="1">
      <alignment horizontal="right"/>
    </xf>
    <xf numFmtId="1" fontId="21" fillId="9" borderId="0" xfId="0" applyNumberFormat="1" applyFont="1" applyFill="1" applyAlignment="1">
      <alignment horizontal="center"/>
    </xf>
    <xf numFmtId="0" fontId="21" fillId="9" borderId="0" xfId="0" applyFont="1" applyFill="1"/>
    <xf numFmtId="0" fontId="8" fillId="5" borderId="0" xfId="0" applyFont="1" applyFill="1" applyAlignment="1">
      <alignment vertical="center"/>
    </xf>
    <xf numFmtId="0" fontId="0" fillId="5" borderId="0" xfId="0" applyFill="1" applyAlignment="1">
      <alignment horizontal="left"/>
    </xf>
    <xf numFmtId="0" fontId="31" fillId="9" borderId="0" xfId="0" applyFont="1" applyFill="1" applyAlignment="1">
      <alignment horizontal="left"/>
    </xf>
    <xf numFmtId="0" fontId="23" fillId="3" borderId="0" xfId="0" applyFont="1" applyFill="1" applyAlignment="1">
      <alignment horizontal="left"/>
    </xf>
    <xf numFmtId="0" fontId="72" fillId="0" borderId="0" xfId="1" applyFont="1" applyFill="1" applyAlignment="1" applyProtection="1">
      <alignment horizontal="left" vertical="center"/>
    </xf>
    <xf numFmtId="0" fontId="21" fillId="9" borderId="0" xfId="0" applyFont="1" applyFill="1" applyAlignment="1" applyProtection="1">
      <alignment horizontal="left"/>
      <protection locked="0"/>
    </xf>
    <xf numFmtId="49" fontId="1" fillId="0" borderId="0" xfId="0" applyNumberFormat="1" applyFont="1"/>
    <xf numFmtId="0" fontId="19" fillId="0" borderId="0" xfId="1" applyFont="1" applyFill="1"/>
    <xf numFmtId="165" fontId="29" fillId="0" borderId="0" xfId="0" applyNumberFormat="1" applyFont="1" applyAlignment="1">
      <alignment vertical="center"/>
    </xf>
    <xf numFmtId="0" fontId="58" fillId="9" borderId="0" xfId="0" applyFont="1" applyFill="1" applyAlignment="1">
      <alignment horizontal="right"/>
    </xf>
    <xf numFmtId="0" fontId="5" fillId="2" borderId="0" xfId="0" applyFont="1" applyFill="1"/>
    <xf numFmtId="0" fontId="5" fillId="2" borderId="0" xfId="0" applyFont="1" applyFill="1" applyAlignment="1">
      <alignment horizontal="center"/>
    </xf>
    <xf numFmtId="49" fontId="21" fillId="9" borderId="0" xfId="0" applyNumberFormat="1" applyFont="1" applyFill="1" applyAlignment="1">
      <alignment horizontal="right"/>
    </xf>
    <xf numFmtId="0" fontId="21" fillId="9" borderId="0" xfId="0" applyFont="1" applyFill="1" applyAlignment="1" applyProtection="1">
      <alignment horizontal="right"/>
      <protection locked="0"/>
    </xf>
    <xf numFmtId="0" fontId="66" fillId="6" borderId="0" xfId="0" applyFont="1" applyFill="1"/>
    <xf numFmtId="0" fontId="74" fillId="0" borderId="0" xfId="0" applyFont="1" applyAlignment="1">
      <alignment horizontal="left"/>
    </xf>
    <xf numFmtId="0" fontId="74" fillId="0" borderId="0" xfId="0" applyFont="1"/>
    <xf numFmtId="49" fontId="75" fillId="0" borderId="0" xfId="1" applyNumberFormat="1" applyFont="1" applyAlignment="1">
      <alignment horizontal="right"/>
    </xf>
    <xf numFmtId="0" fontId="70" fillId="0" borderId="0" xfId="1" applyFont="1" applyAlignment="1">
      <alignment horizontal="center"/>
    </xf>
    <xf numFmtId="0" fontId="76" fillId="0" borderId="11" xfId="0" applyFont="1" applyBorder="1" applyAlignment="1">
      <alignment horizontal="center"/>
    </xf>
    <xf numFmtId="0" fontId="77" fillId="0" borderId="0" xfId="0" applyFont="1" applyAlignment="1" applyProtection="1">
      <alignment horizontal="center" vertical="center"/>
      <protection locked="0"/>
    </xf>
    <xf numFmtId="0" fontId="76" fillId="0" borderId="4" xfId="0" applyFont="1" applyBorder="1"/>
    <xf numFmtId="49" fontId="32" fillId="0" borderId="0" xfId="0" applyNumberFormat="1" applyFont="1" applyAlignment="1">
      <alignment horizontal="left" vertical="top"/>
    </xf>
    <xf numFmtId="49" fontId="61" fillId="0" borderId="0" xfId="0" applyNumberFormat="1" applyFont="1" applyAlignment="1">
      <alignment horizontal="left" vertical="center"/>
    </xf>
    <xf numFmtId="0" fontId="61" fillId="0" borderId="0" xfId="0" applyFont="1" applyAlignment="1">
      <alignment horizontal="left" vertical="center"/>
    </xf>
    <xf numFmtId="0" fontId="78" fillId="0" borderId="0" xfId="0" applyFont="1" applyAlignment="1">
      <alignment horizontal="left"/>
    </xf>
    <xf numFmtId="49" fontId="81" fillId="0" borderId="0" xfId="0" applyNumberFormat="1" applyFont="1" applyAlignment="1">
      <alignment horizontal="left" vertical="center"/>
    </xf>
    <xf numFmtId="0" fontId="36" fillId="0" borderId="0" xfId="0" applyFont="1" applyAlignment="1">
      <alignment horizontal="right" vertical="center"/>
    </xf>
    <xf numFmtId="0" fontId="69" fillId="0" borderId="0" xfId="0" applyFont="1" applyAlignment="1" applyProtection="1">
      <alignment horizontal="center"/>
      <protection locked="0"/>
    </xf>
    <xf numFmtId="0" fontId="69" fillId="0" borderId="0" xfId="0" applyFont="1" applyAlignment="1" applyProtection="1">
      <alignment vertical="center"/>
      <protection locked="0"/>
    </xf>
    <xf numFmtId="0" fontId="5" fillId="4" borderId="0" xfId="0" applyFont="1" applyFill="1" applyAlignment="1">
      <alignment horizontal="center"/>
    </xf>
    <xf numFmtId="0" fontId="19" fillId="0" borderId="0" xfId="1" applyFont="1" applyFill="1" applyProtection="1"/>
    <xf numFmtId="0" fontId="2" fillId="0" borderId="0" xfId="1" applyFill="1"/>
    <xf numFmtId="0" fontId="36" fillId="0" borderId="0" xfId="0" applyFont="1" applyAlignment="1" applyProtection="1">
      <alignment horizontal="right" vertical="center"/>
      <protection locked="0"/>
    </xf>
    <xf numFmtId="0" fontId="29" fillId="0" borderId="0" xfId="1" applyFont="1" applyFill="1" applyBorder="1" applyAlignment="1" applyProtection="1">
      <alignment horizontal="left" vertical="center"/>
      <protection locked="0"/>
    </xf>
    <xf numFmtId="49" fontId="19" fillId="0" borderId="0" xfId="1" applyNumberFormat="1" applyFont="1" applyAlignment="1"/>
    <xf numFmtId="0" fontId="31" fillId="6" borderId="4" xfId="1" applyFont="1" applyFill="1" applyBorder="1" applyAlignment="1">
      <alignment horizontal="center" vertical="center"/>
    </xf>
    <xf numFmtId="0" fontId="36" fillId="0" borderId="0" xfId="0" applyFont="1" applyAlignment="1">
      <alignment horizontal="left" vertical="center"/>
    </xf>
    <xf numFmtId="0" fontId="18" fillId="0" borderId="0" xfId="0" applyFont="1" applyProtection="1">
      <protection locked="0"/>
    </xf>
    <xf numFmtId="0" fontId="36" fillId="0" borderId="0" xfId="0" applyFont="1"/>
    <xf numFmtId="0" fontId="57" fillId="0" borderId="0" xfId="0" applyFont="1" applyAlignment="1">
      <alignment horizontal="left" vertical="center"/>
    </xf>
    <xf numFmtId="0" fontId="36" fillId="0" borderId="0" xfId="0" applyFont="1" applyAlignment="1">
      <alignment vertical="center"/>
    </xf>
    <xf numFmtId="165" fontId="2" fillId="0" borderId="0" xfId="1" applyNumberFormat="1" applyFill="1" applyAlignment="1" applyProtection="1">
      <alignment horizontal="center" vertical="center"/>
      <protection locked="0"/>
    </xf>
    <xf numFmtId="0" fontId="21" fillId="9" borderId="0" xfId="0" applyFont="1" applyFill="1" applyAlignment="1">
      <alignment horizontal="center" vertical="center"/>
    </xf>
    <xf numFmtId="0" fontId="83" fillId="6" borderId="4" xfId="1" applyFont="1" applyFill="1" applyBorder="1" applyAlignment="1">
      <alignment horizontal="center" vertical="center"/>
    </xf>
    <xf numFmtId="0" fontId="29" fillId="0" borderId="0" xfId="1" applyFont="1" applyFill="1" applyBorder="1" applyAlignment="1" applyProtection="1">
      <alignment horizontal="left" vertical="center"/>
    </xf>
    <xf numFmtId="0" fontId="36" fillId="0" borderId="0" xfId="0" applyFont="1" applyAlignment="1">
      <alignment horizontal="right"/>
    </xf>
    <xf numFmtId="49" fontId="36" fillId="0" borderId="0" xfId="0" applyNumberFormat="1" applyFont="1" applyAlignment="1">
      <alignment horizontal="right"/>
    </xf>
    <xf numFmtId="0" fontId="21" fillId="0" borderId="0" xfId="1" applyFont="1" applyAlignment="1" applyProtection="1">
      <alignment horizontal="left" vertical="center"/>
    </xf>
    <xf numFmtId="0" fontId="24" fillId="0" borderId="0" xfId="0" applyFont="1" applyAlignment="1" applyProtection="1">
      <alignment horizontal="center" vertical="center"/>
      <protection locked="0"/>
    </xf>
    <xf numFmtId="1" fontId="13" fillId="0" borderId="0" xfId="0" applyNumberFormat="1" applyFont="1" applyAlignment="1">
      <alignment horizontal="center"/>
    </xf>
    <xf numFmtId="0" fontId="88" fillId="0" borderId="0" xfId="0" applyFont="1"/>
    <xf numFmtId="0" fontId="89" fillId="6" borderId="0" xfId="0" applyFont="1" applyFill="1"/>
    <xf numFmtId="0" fontId="87" fillId="0" borderId="0" xfId="0" applyFont="1" applyAlignment="1">
      <alignment horizontal="left"/>
    </xf>
    <xf numFmtId="0" fontId="90" fillId="0" borderId="0" xfId="0" applyFont="1"/>
    <xf numFmtId="0" fontId="0" fillId="0" borderId="0" xfId="0" applyAlignment="1">
      <alignment horizontal="left" vertical="center"/>
    </xf>
    <xf numFmtId="0" fontId="33" fillId="3" borderId="0" xfId="0" applyFont="1" applyFill="1" applyAlignment="1">
      <alignment horizontal="left" vertical="center"/>
    </xf>
    <xf numFmtId="0" fontId="5" fillId="0" borderId="0" xfId="1" applyNumberFormat="1" applyFont="1" applyAlignment="1" applyProtection="1">
      <alignment vertical="center"/>
    </xf>
    <xf numFmtId="0" fontId="5" fillId="0" borderId="0" xfId="0" applyFont="1" applyAlignment="1">
      <alignment horizontal="left" vertical="center"/>
    </xf>
    <xf numFmtId="0" fontId="29" fillId="0" borderId="0" xfId="0" applyFont="1" applyAlignment="1">
      <alignment horizontal="left" vertical="center"/>
    </xf>
    <xf numFmtId="0" fontId="82" fillId="0" borderId="0" xfId="0" applyFont="1"/>
    <xf numFmtId="0" fontId="93" fillId="3" borderId="0" xfId="0" applyFont="1" applyFill="1" applyAlignment="1">
      <alignment horizontal="left" vertical="center"/>
    </xf>
    <xf numFmtId="0" fontId="38" fillId="0" borderId="0" xfId="0" applyFont="1" applyAlignment="1">
      <alignment horizontal="left"/>
    </xf>
    <xf numFmtId="0" fontId="5" fillId="0" borderId="7" xfId="0" applyFont="1" applyBorder="1" applyAlignment="1">
      <alignment horizontal="left"/>
    </xf>
    <xf numFmtId="0" fontId="5" fillId="0" borderId="9" xfId="0" applyFont="1" applyBorder="1" applyAlignment="1">
      <alignment horizontal="left"/>
    </xf>
    <xf numFmtId="0" fontId="5" fillId="0" borderId="12" xfId="0" applyFont="1" applyBorder="1" applyAlignment="1">
      <alignment horizontal="left"/>
    </xf>
    <xf numFmtId="0" fontId="59" fillId="3" borderId="0" xfId="0" applyFont="1" applyFill="1" applyAlignment="1">
      <alignment horizontal="left"/>
    </xf>
    <xf numFmtId="0" fontId="46" fillId="3" borderId="0" xfId="0" applyFont="1" applyFill="1"/>
    <xf numFmtId="0" fontId="4" fillId="5" borderId="0" xfId="0" applyFont="1" applyFill="1" applyAlignment="1">
      <alignment vertical="center"/>
    </xf>
    <xf numFmtId="0" fontId="0" fillId="7" borderId="0" xfId="0" applyFill="1" applyAlignment="1">
      <alignment vertical="center"/>
    </xf>
    <xf numFmtId="0" fontId="59" fillId="5" borderId="0" xfId="0" applyFont="1" applyFill="1"/>
    <xf numFmtId="0" fontId="8" fillId="5" borderId="0" xfId="0" applyFont="1" applyFill="1"/>
    <xf numFmtId="0" fontId="18" fillId="0" borderId="0" xfId="0" applyFont="1" applyAlignment="1">
      <alignment horizontal="right"/>
    </xf>
    <xf numFmtId="0" fontId="0" fillId="3" borderId="0" xfId="0" applyFill="1" applyAlignment="1">
      <alignment horizontal="left" vertical="center"/>
    </xf>
    <xf numFmtId="0" fontId="8" fillId="0" borderId="0" xfId="0" applyFont="1" applyAlignment="1">
      <alignment horizontal="right" vertical="center"/>
    </xf>
    <xf numFmtId="0" fontId="30" fillId="0" borderId="0" xfId="0" applyFont="1" applyAlignment="1">
      <alignment horizontal="center" vertical="center"/>
    </xf>
    <xf numFmtId="0" fontId="82" fillId="0" borderId="0" xfId="1" applyFont="1" applyFill="1" applyAlignment="1" applyProtection="1">
      <alignment horizontal="left" vertical="center"/>
    </xf>
    <xf numFmtId="0" fontId="18" fillId="0" borderId="0" xfId="0" applyFont="1" applyAlignment="1">
      <alignment horizontal="center" vertical="center"/>
    </xf>
    <xf numFmtId="0" fontId="82" fillId="0" borderId="0" xfId="1" applyFont="1" applyAlignment="1">
      <alignment horizontal="left"/>
    </xf>
    <xf numFmtId="0" fontId="1" fillId="0" borderId="0" xfId="0" applyFont="1" applyAlignment="1">
      <alignment horizontal="left"/>
    </xf>
    <xf numFmtId="0" fontId="58" fillId="0" borderId="8" xfId="0" applyFont="1" applyBorder="1" applyAlignment="1">
      <alignment horizontal="left"/>
    </xf>
    <xf numFmtId="0" fontId="82" fillId="4" borderId="0" xfId="1" applyFont="1" applyFill="1" applyAlignment="1">
      <alignment horizontal="left" vertical="center"/>
    </xf>
    <xf numFmtId="0" fontId="21" fillId="0" borderId="0" xfId="0" applyFont="1" applyAlignment="1">
      <alignment horizontal="center" vertical="center"/>
    </xf>
    <xf numFmtId="0" fontId="95" fillId="0" borderId="0" xfId="1" applyNumberFormat="1" applyFont="1" applyAlignment="1" applyProtection="1">
      <alignment horizontal="right"/>
    </xf>
    <xf numFmtId="0" fontId="82" fillId="0" borderId="0" xfId="1" applyFont="1" applyAlignment="1" applyProtection="1">
      <alignment horizontal="center" vertical="center"/>
    </xf>
    <xf numFmtId="0" fontId="82" fillId="0" borderId="0" xfId="1" applyNumberFormat="1" applyFont="1" applyAlignment="1" applyProtection="1">
      <alignment horizontal="right"/>
    </xf>
    <xf numFmtId="0" fontId="82" fillId="0" borderId="0" xfId="1" applyFont="1" applyProtection="1"/>
    <xf numFmtId="0" fontId="82" fillId="0" borderId="0" xfId="1" applyFont="1" applyAlignment="1" applyProtection="1">
      <alignment vertical="top"/>
    </xf>
    <xf numFmtId="0" fontId="82" fillId="0" borderId="0" xfId="1" applyFont="1" applyAlignment="1" applyProtection="1">
      <alignment horizontal="left" vertical="center"/>
    </xf>
    <xf numFmtId="0" fontId="82" fillId="0" borderId="0" xfId="1" applyFont="1" applyAlignment="1" applyProtection="1">
      <alignment horizontal="left" vertical="top"/>
    </xf>
    <xf numFmtId="0" fontId="82" fillId="0" borderId="0" xfId="1" applyFont="1" applyAlignment="1" applyProtection="1">
      <alignment vertical="center"/>
    </xf>
    <xf numFmtId="0" fontId="82" fillId="0" borderId="0" xfId="1" applyFont="1" applyAlignment="1" applyProtection="1">
      <alignment horizontal="left"/>
    </xf>
    <xf numFmtId="0" fontId="95" fillId="0" borderId="0" xfId="1" applyFont="1" applyAlignment="1" applyProtection="1">
      <alignment horizontal="left" vertical="center"/>
    </xf>
    <xf numFmtId="0" fontId="82" fillId="0" borderId="0" xfId="0" applyFont="1" applyAlignment="1">
      <alignment horizontal="left" vertical="center"/>
    </xf>
    <xf numFmtId="0" fontId="82" fillId="0" borderId="0" xfId="1" applyNumberFormat="1" applyFont="1" applyAlignment="1" applyProtection="1">
      <alignment horizontal="center"/>
    </xf>
    <xf numFmtId="0" fontId="82" fillId="0" borderId="0" xfId="1" applyNumberFormat="1" applyFont="1" applyAlignment="1" applyProtection="1">
      <alignment horizontal="center" vertical="center"/>
    </xf>
    <xf numFmtId="0" fontId="82" fillId="0" borderId="0" xfId="1" applyNumberFormat="1" applyFont="1" applyAlignment="1" applyProtection="1">
      <alignment horizontal="center" vertical="top"/>
    </xf>
    <xf numFmtId="0" fontId="95" fillId="0" borderId="0" xfId="1" applyFont="1" applyAlignment="1" applyProtection="1">
      <alignment horizontal="left"/>
    </xf>
    <xf numFmtId="0" fontId="95" fillId="0" borderId="0" xfId="1" applyFont="1" applyAlignment="1" applyProtection="1">
      <alignment vertical="top"/>
    </xf>
    <xf numFmtId="0" fontId="95" fillId="0" borderId="0" xfId="1" applyFont="1" applyAlignment="1" applyProtection="1">
      <alignment horizontal="right"/>
    </xf>
    <xf numFmtId="0" fontId="96" fillId="0" borderId="0" xfId="1" applyFont="1" applyAlignment="1" applyProtection="1">
      <alignment horizontal="center"/>
    </xf>
    <xf numFmtId="0" fontId="82" fillId="0" borderId="0" xfId="1" applyFont="1" applyAlignment="1">
      <alignment vertical="top"/>
    </xf>
    <xf numFmtId="0" fontId="82" fillId="0" borderId="0" xfId="1" applyFont="1"/>
    <xf numFmtId="0" fontId="21" fillId="0" borderId="0" xfId="0" applyFont="1" applyAlignment="1">
      <alignment horizontal="center" vertical="top"/>
    </xf>
    <xf numFmtId="0" fontId="68" fillId="0" borderId="0" xfId="1" applyFont="1" applyAlignment="1" applyProtection="1">
      <alignment vertical="top"/>
    </xf>
    <xf numFmtId="0" fontId="82" fillId="0" borderId="0" xfId="1" applyNumberFormat="1" applyFont="1" applyAlignment="1" applyProtection="1">
      <alignment horizontal="left" vertical="center"/>
    </xf>
    <xf numFmtId="0" fontId="82" fillId="0" borderId="0" xfId="1" applyNumberFormat="1" applyFont="1" applyAlignment="1" applyProtection="1">
      <alignment horizontal="left"/>
    </xf>
    <xf numFmtId="0" fontId="4" fillId="0" borderId="0" xfId="1" applyFont="1" applyProtection="1"/>
    <xf numFmtId="0" fontId="97" fillId="0" borderId="0" xfId="1" applyFont="1" applyProtection="1"/>
    <xf numFmtId="0" fontId="60" fillId="0" borderId="0" xfId="1" applyFont="1" applyProtection="1"/>
    <xf numFmtId="0" fontId="23" fillId="9" borderId="0" xfId="0" applyFont="1" applyFill="1" applyAlignment="1">
      <alignment horizontal="right"/>
    </xf>
    <xf numFmtId="0" fontId="82" fillId="0" borderId="0" xfId="1" applyFont="1" applyFill="1" applyBorder="1" applyAlignment="1" applyProtection="1">
      <alignment horizontal="left" vertical="center"/>
    </xf>
    <xf numFmtId="0" fontId="82" fillId="0" borderId="0" xfId="1" applyFont="1" applyFill="1" applyAlignment="1" applyProtection="1">
      <alignment horizontal="left" vertical="top"/>
    </xf>
    <xf numFmtId="0" fontId="73" fillId="0" borderId="0" xfId="1" applyFont="1" applyFill="1" applyAlignment="1" applyProtection="1">
      <alignment horizontal="right"/>
    </xf>
    <xf numFmtId="0" fontId="58" fillId="0" borderId="0" xfId="1" applyFont="1" applyFill="1" applyBorder="1" applyAlignment="1" applyProtection="1">
      <alignment horizontal="left" vertical="center"/>
    </xf>
    <xf numFmtId="0" fontId="73" fillId="0" borderId="0" xfId="1" applyFont="1" applyFill="1" applyAlignment="1" applyProtection="1">
      <alignment horizontal="left"/>
    </xf>
    <xf numFmtId="0" fontId="80" fillId="6" borderId="4" xfId="1" applyNumberFormat="1" applyFont="1" applyFill="1" applyBorder="1" applyAlignment="1">
      <alignment horizontal="center" vertical="center"/>
    </xf>
    <xf numFmtId="0" fontId="14" fillId="3" borderId="0" xfId="0" applyFont="1" applyFill="1" applyAlignment="1">
      <alignment horizontal="right"/>
    </xf>
    <xf numFmtId="0" fontId="25" fillId="0" borderId="0" xfId="1" applyNumberFormat="1" applyFont="1" applyAlignment="1" applyProtection="1">
      <alignment horizontal="left" vertical="center"/>
    </xf>
    <xf numFmtId="0" fontId="25" fillId="0" borderId="0" xfId="0" applyFont="1" applyAlignment="1">
      <alignment horizontal="left"/>
    </xf>
    <xf numFmtId="0" fontId="25" fillId="0" borderId="0" xfId="1" applyNumberFormat="1" applyFont="1" applyAlignment="1" applyProtection="1">
      <alignment horizontal="center" vertical="center"/>
    </xf>
    <xf numFmtId="0" fontId="25" fillId="0" borderId="0" xfId="0" applyFont="1" applyAlignment="1">
      <alignment horizontal="right"/>
    </xf>
    <xf numFmtId="0" fontId="25" fillId="3" borderId="0" xfId="1" applyNumberFormat="1" applyFont="1" applyFill="1" applyAlignment="1" applyProtection="1">
      <alignment horizontal="center" vertical="center"/>
    </xf>
    <xf numFmtId="0" fontId="25" fillId="3" borderId="0" xfId="0" applyFont="1" applyFill="1" applyAlignment="1">
      <alignment horizontal="right"/>
    </xf>
    <xf numFmtId="0" fontId="3" fillId="0" borderId="0" xfId="1" applyNumberFormat="1" applyFont="1" applyAlignment="1" applyProtection="1">
      <alignment horizontal="right"/>
    </xf>
    <xf numFmtId="0" fontId="19" fillId="0" borderId="0" xfId="1" applyNumberFormat="1" applyFont="1" applyAlignment="1" applyProtection="1">
      <alignment horizontal="right" vertical="center"/>
    </xf>
    <xf numFmtId="0" fontId="19" fillId="0" borderId="0" xfId="1" applyNumberFormat="1" applyFont="1" applyAlignment="1" applyProtection="1">
      <alignment horizontal="center" vertical="center"/>
    </xf>
    <xf numFmtId="0" fontId="82" fillId="0" borderId="0" xfId="1" applyNumberFormat="1" applyFont="1" applyProtection="1"/>
    <xf numFmtId="0" fontId="1" fillId="0" borderId="0" xfId="0" applyFont="1" applyAlignment="1">
      <alignment horizontal="center" vertical="top"/>
    </xf>
    <xf numFmtId="0" fontId="19" fillId="0" borderId="0" xfId="1" applyNumberFormat="1" applyFont="1" applyAlignment="1" applyProtection="1">
      <alignment horizontal="right"/>
    </xf>
    <xf numFmtId="0" fontId="3" fillId="0" borderId="0" xfId="1" applyNumberFormat="1" applyFont="1" applyProtection="1"/>
    <xf numFmtId="0" fontId="19" fillId="0" borderId="0" xfId="1" applyNumberFormat="1" applyFont="1" applyAlignment="1" applyProtection="1">
      <alignment horizontal="left"/>
    </xf>
    <xf numFmtId="0" fontId="2" fillId="0" borderId="0" xfId="1" applyNumberFormat="1" applyAlignment="1" applyProtection="1">
      <alignment horizontal="center"/>
    </xf>
    <xf numFmtId="0" fontId="26" fillId="0" borderId="0" xfId="0" applyFont="1" applyAlignment="1">
      <alignment horizontal="right" vertical="top"/>
    </xf>
    <xf numFmtId="0" fontId="19" fillId="0" borderId="0" xfId="1" applyNumberFormat="1" applyFont="1" applyProtection="1"/>
    <xf numFmtId="0" fontId="26" fillId="0" borderId="0" xfId="0" applyFont="1" applyAlignment="1">
      <alignment horizontal="left"/>
    </xf>
    <xf numFmtId="0" fontId="75" fillId="0" borderId="0" xfId="1" applyNumberFormat="1" applyFont="1"/>
    <xf numFmtId="0" fontId="0" fillId="3" borderId="6" xfId="0" applyFill="1" applyBorder="1" applyAlignment="1" applyProtection="1">
      <alignment horizontal="left" vertical="top" wrapText="1" indent="1" readingOrder="1"/>
      <protection locked="0"/>
    </xf>
    <xf numFmtId="0" fontId="0" fillId="3" borderId="7" xfId="0" applyFill="1" applyBorder="1" applyAlignment="1" applyProtection="1">
      <alignment horizontal="left" vertical="top" wrapText="1" indent="1" readingOrder="1"/>
      <protection locked="0"/>
    </xf>
    <xf numFmtId="0" fontId="0" fillId="3" borderId="0" xfId="0" applyFill="1" applyAlignment="1" applyProtection="1">
      <alignment horizontal="left" vertical="top" wrapText="1" indent="1" readingOrder="1"/>
      <protection locked="0"/>
    </xf>
    <xf numFmtId="0" fontId="0" fillId="3" borderId="9" xfId="0" applyFill="1" applyBorder="1" applyAlignment="1" applyProtection="1">
      <alignment horizontal="left" vertical="top" wrapText="1" indent="1" readingOrder="1"/>
      <protection locked="0"/>
    </xf>
    <xf numFmtId="0" fontId="0" fillId="3" borderId="11" xfId="0" applyFill="1" applyBorder="1" applyAlignment="1" applyProtection="1">
      <alignment horizontal="left" vertical="top" wrapText="1" indent="1" readingOrder="1"/>
      <protection locked="0"/>
    </xf>
    <xf numFmtId="0" fontId="0" fillId="3" borderId="12" xfId="0" applyFill="1" applyBorder="1" applyAlignment="1" applyProtection="1">
      <alignment horizontal="left" vertical="top" wrapText="1" indent="1" readingOrder="1"/>
      <protection locked="0"/>
    </xf>
    <xf numFmtId="0" fontId="0" fillId="0" borderId="0" xfId="0" applyAlignment="1" applyProtection="1">
      <alignment horizontal="left" vertical="top" wrapText="1" indent="1" readingOrder="1"/>
      <protection locked="0"/>
    </xf>
    <xf numFmtId="0" fontId="10" fillId="0" borderId="0" xfId="0" applyFont="1" applyProtection="1">
      <protection locked="0"/>
    </xf>
    <xf numFmtId="0" fontId="84" fillId="0" borderId="0" xfId="0" applyFont="1"/>
    <xf numFmtId="0" fontId="85" fillId="0" borderId="0" xfId="0" applyFont="1" applyAlignment="1">
      <alignment horizontal="right"/>
    </xf>
    <xf numFmtId="0" fontId="86" fillId="0" borderId="0" xfId="0" applyFont="1"/>
    <xf numFmtId="0" fontId="85" fillId="6" borderId="0" xfId="0" applyFont="1" applyFill="1" applyAlignment="1">
      <alignment horizontal="right"/>
    </xf>
    <xf numFmtId="0" fontId="85" fillId="0" borderId="0" xfId="0" applyFont="1"/>
    <xf numFmtId="0" fontId="84" fillId="0" borderId="0" xfId="0" applyFont="1" applyAlignment="1">
      <alignment horizontal="right"/>
    </xf>
    <xf numFmtId="0" fontId="13" fillId="0" borderId="1" xfId="0" applyFont="1" applyBorder="1" applyAlignment="1">
      <alignment horizontal="center"/>
    </xf>
    <xf numFmtId="0" fontId="42" fillId="0" borderId="9" xfId="0" applyFont="1" applyBorder="1" applyAlignment="1">
      <alignment horizontal="right"/>
    </xf>
    <xf numFmtId="0" fontId="42" fillId="0" borderId="0" xfId="0" applyFont="1" applyAlignment="1">
      <alignment horizontal="right"/>
    </xf>
    <xf numFmtId="0" fontId="30" fillId="0" borderId="0" xfId="0" applyFont="1" applyAlignment="1">
      <alignment horizontal="left" vertical="center"/>
    </xf>
    <xf numFmtId="0" fontId="82" fillId="0" borderId="0" xfId="1" applyFont="1" applyFill="1" applyAlignment="1" applyProtection="1">
      <alignment horizontal="left" vertical="center"/>
      <protection locked="0"/>
    </xf>
    <xf numFmtId="0" fontId="82" fillId="4" borderId="0" xfId="1" applyFont="1" applyFill="1" applyAlignment="1" applyProtection="1">
      <alignment horizontal="left" vertical="center"/>
      <protection locked="0"/>
    </xf>
    <xf numFmtId="0" fontId="82" fillId="4" borderId="0" xfId="1" applyFont="1" applyFill="1" applyAlignment="1" applyProtection="1">
      <alignment horizontal="left"/>
      <protection locked="0"/>
    </xf>
    <xf numFmtId="0" fontId="82" fillId="0" borderId="0" xfId="1" applyFont="1" applyAlignment="1">
      <alignment horizontal="center"/>
    </xf>
    <xf numFmtId="0" fontId="86" fillId="0" borderId="0" xfId="0" applyFont="1" applyAlignment="1" applyProtection="1">
      <alignment horizontal="left" vertical="center"/>
      <protection locked="0"/>
    </xf>
    <xf numFmtId="0" fontId="82" fillId="0" borderId="0" xfId="1" applyFont="1" applyFill="1" applyAlignment="1">
      <alignment horizontal="left" vertical="top"/>
    </xf>
    <xf numFmtId="0" fontId="82" fillId="0" borderId="0" xfId="1" applyNumberFormat="1" applyFont="1" applyAlignment="1"/>
    <xf numFmtId="0" fontId="82" fillId="0" borderId="0" xfId="1" applyFont="1" applyProtection="1">
      <protection locked="0"/>
    </xf>
    <xf numFmtId="0" fontId="82" fillId="0" borderId="0" xfId="1" applyFont="1" applyAlignment="1">
      <alignment horizontal="left" vertical="center"/>
    </xf>
    <xf numFmtId="0" fontId="82" fillId="0" borderId="0" xfId="1" applyFont="1" applyAlignment="1">
      <alignment horizontal="center" vertical="center"/>
    </xf>
    <xf numFmtId="0" fontId="82" fillId="0" borderId="0" xfId="1" applyFont="1" applyAlignment="1">
      <alignment horizontal="left" vertical="top"/>
    </xf>
    <xf numFmtId="0" fontId="82" fillId="0" borderId="0" xfId="1" applyNumberFormat="1" applyFont="1" applyAlignment="1">
      <alignment horizontal="right"/>
    </xf>
    <xf numFmtId="0" fontId="95" fillId="0" borderId="0" xfId="1" applyNumberFormat="1" applyFont="1" applyAlignment="1">
      <alignment horizontal="right"/>
    </xf>
    <xf numFmtId="0" fontId="26" fillId="0" borderId="0" xfId="0" applyFont="1" applyAlignment="1">
      <alignment vertical="center"/>
    </xf>
    <xf numFmtId="0" fontId="21" fillId="0" borderId="0" xfId="1" applyFont="1" applyAlignment="1">
      <alignment horizontal="right" vertical="top"/>
    </xf>
    <xf numFmtId="0" fontId="7" fillId="0" borderId="0" xfId="0" applyFont="1" applyAlignment="1">
      <alignment horizontal="right" vertical="top"/>
    </xf>
    <xf numFmtId="0" fontId="21" fillId="0" borderId="0" xfId="1" applyFont="1" applyAlignment="1">
      <alignment horizontal="center" vertical="center"/>
    </xf>
    <xf numFmtId="0" fontId="82" fillId="0" borderId="0" xfId="1" applyFont="1" applyAlignment="1"/>
    <xf numFmtId="0" fontId="82" fillId="0" borderId="0" xfId="1" applyFont="1" applyAlignment="1">
      <alignment vertical="center"/>
    </xf>
    <xf numFmtId="0" fontId="95" fillId="0" borderId="0" xfId="1" applyFont="1" applyAlignment="1">
      <alignment horizontal="left" vertical="center"/>
    </xf>
    <xf numFmtId="0" fontId="95" fillId="0" borderId="0" xfId="1" applyFont="1"/>
    <xf numFmtId="0" fontId="82" fillId="0" borderId="0" xfId="1" applyNumberFormat="1" applyFont="1" applyAlignment="1">
      <alignment horizontal="center"/>
    </xf>
    <xf numFmtId="0" fontId="1" fillId="0" borderId="0" xfId="0" applyFont="1" applyAlignment="1">
      <alignment horizontal="right" vertical="top"/>
    </xf>
    <xf numFmtId="0" fontId="82" fillId="0" borderId="0" xfId="1" applyNumberFormat="1" applyFont="1" applyAlignment="1">
      <alignment horizontal="right" vertical="center"/>
    </xf>
    <xf numFmtId="0" fontId="32" fillId="0" borderId="0" xfId="0" applyFont="1" applyAlignment="1">
      <alignment vertical="top"/>
    </xf>
    <xf numFmtId="0" fontId="82" fillId="0" borderId="0" xfId="1" applyNumberFormat="1" applyFont="1" applyAlignment="1">
      <alignment horizontal="left" vertical="center"/>
    </xf>
    <xf numFmtId="0" fontId="95" fillId="0" borderId="0" xfId="1" applyFont="1" applyAlignment="1">
      <alignment horizontal="left"/>
    </xf>
    <xf numFmtId="0" fontId="95" fillId="0" borderId="0" xfId="1" applyFont="1" applyAlignment="1">
      <alignment vertical="top"/>
    </xf>
    <xf numFmtId="0" fontId="95" fillId="0" borderId="0" xfId="1" applyFont="1" applyAlignment="1">
      <alignment horizontal="right"/>
    </xf>
    <xf numFmtId="0" fontId="47" fillId="0" borderId="0" xfId="0" applyFont="1" applyAlignment="1">
      <alignment vertical="top"/>
    </xf>
    <xf numFmtId="0" fontId="82" fillId="0" borderId="0" xfId="1" applyFont="1" applyAlignment="1">
      <alignment horizontal="center" vertical="top"/>
    </xf>
    <xf numFmtId="0" fontId="21" fillId="0" borderId="0" xfId="1" applyNumberFormat="1" applyFont="1" applyAlignment="1">
      <alignment horizontal="center" vertical="center"/>
    </xf>
    <xf numFmtId="0" fontId="82" fillId="0" borderId="0" xfId="1" applyNumberFormat="1" applyFont="1" applyAlignment="1">
      <alignment horizontal="left"/>
    </xf>
    <xf numFmtId="0" fontId="60" fillId="0" borderId="0" xfId="1" applyFont="1"/>
    <xf numFmtId="0" fontId="0" fillId="0" borderId="14" xfId="0" applyBorder="1"/>
    <xf numFmtId="0" fontId="0" fillId="0" borderId="15" xfId="0" applyBorder="1"/>
    <xf numFmtId="0" fontId="0" fillId="0" borderId="15" xfId="0" applyBorder="1" applyAlignment="1">
      <alignment horizontal="right"/>
    </xf>
    <xf numFmtId="0" fontId="54" fillId="3" borderId="0" xfId="0" applyFont="1" applyFill="1" applyAlignment="1">
      <alignment horizontal="center"/>
    </xf>
    <xf numFmtId="0" fontId="13" fillId="3" borderId="0" xfId="0" applyFont="1" applyFill="1" applyAlignment="1">
      <alignment horizontal="center"/>
    </xf>
    <xf numFmtId="0" fontId="99" fillId="0" borderId="0" xfId="1" applyFont="1" applyAlignment="1">
      <alignment horizontal="center"/>
    </xf>
    <xf numFmtId="0" fontId="82" fillId="0" borderId="0" xfId="1" applyFont="1" applyAlignment="1">
      <alignment horizontal="right" vertical="center"/>
    </xf>
    <xf numFmtId="0" fontId="39" fillId="0" borderId="0" xfId="1" applyFont="1" applyFill="1" applyAlignment="1" applyProtection="1">
      <alignment horizontal="left" vertical="center"/>
    </xf>
    <xf numFmtId="0" fontId="100" fillId="3" borderId="0" xfId="0" applyFont="1" applyFill="1" applyAlignment="1">
      <alignment horizontal="left" vertical="center"/>
    </xf>
    <xf numFmtId="0" fontId="36" fillId="4" borderId="0" xfId="0" applyFont="1" applyFill="1" applyAlignment="1">
      <alignment horizontal="left" vertical="center"/>
    </xf>
    <xf numFmtId="0" fontId="82" fillId="0" borderId="0" xfId="1" applyNumberFormat="1" applyFont="1" applyAlignment="1" applyProtection="1"/>
    <xf numFmtId="49" fontId="82" fillId="0" borderId="0" xfId="1" applyNumberFormat="1" applyFont="1" applyAlignment="1" applyProtection="1"/>
    <xf numFmtId="0" fontId="59" fillId="0" borderId="0" xfId="0" applyFont="1"/>
    <xf numFmtId="0" fontId="19" fillId="0" borderId="0" xfId="0" applyFont="1"/>
    <xf numFmtId="0" fontId="28" fillId="0" borderId="0" xfId="0" applyFont="1"/>
    <xf numFmtId="0" fontId="82" fillId="0" borderId="0" xfId="1" applyFont="1" applyFill="1"/>
    <xf numFmtId="0" fontId="21" fillId="0" borderId="0" xfId="1" applyFont="1" applyAlignment="1" applyProtection="1">
      <alignment horizontal="right" vertical="top"/>
    </xf>
    <xf numFmtId="0" fontId="95" fillId="0" borderId="0" xfId="1" applyFont="1" applyProtection="1"/>
    <xf numFmtId="0" fontId="82" fillId="0" borderId="0" xfId="1" applyNumberFormat="1" applyFont="1" applyAlignment="1" applyProtection="1">
      <alignment horizontal="right" vertical="center"/>
    </xf>
    <xf numFmtId="0" fontId="82" fillId="0" borderId="0" xfId="1" applyNumberFormat="1" applyFont="1" applyAlignment="1" applyProtection="1">
      <alignment horizontal="left" vertical="top"/>
    </xf>
    <xf numFmtId="0" fontId="5" fillId="0" borderId="0" xfId="0" applyFont="1" applyAlignment="1">
      <alignment vertical="center"/>
    </xf>
    <xf numFmtId="0" fontId="40" fillId="0" borderId="0" xfId="0" applyFont="1" applyAlignment="1">
      <alignment horizontal="right"/>
    </xf>
    <xf numFmtId="0" fontId="101" fillId="0" borderId="0" xfId="1" applyFont="1" applyAlignment="1" applyProtection="1">
      <alignment horizontal="center"/>
    </xf>
    <xf numFmtId="0" fontId="33" fillId="0" borderId="0" xfId="0" applyFont="1" applyAlignment="1">
      <alignment horizontal="left"/>
    </xf>
    <xf numFmtId="0" fontId="98" fillId="0" borderId="0" xfId="0" applyFont="1"/>
    <xf numFmtId="0" fontId="23" fillId="0" borderId="0" xfId="0" applyFont="1"/>
    <xf numFmtId="0" fontId="0" fillId="6" borderId="0" xfId="0" applyFill="1"/>
    <xf numFmtId="0" fontId="0" fillId="10" borderId="0" xfId="0" applyFill="1"/>
    <xf numFmtId="0" fontId="59" fillId="0" borderId="0" xfId="0" applyFont="1" applyAlignment="1">
      <alignment horizontal="left"/>
    </xf>
    <xf numFmtId="0" fontId="8" fillId="0" borderId="0" xfId="0" applyFont="1" applyAlignment="1">
      <alignment horizontal="left"/>
    </xf>
    <xf numFmtId="0" fontId="0" fillId="0" borderId="11" xfId="0" applyBorder="1" applyAlignment="1">
      <alignment horizontal="left"/>
    </xf>
    <xf numFmtId="0" fontId="95" fillId="0" borderId="0" xfId="1" applyNumberFormat="1" applyFont="1" applyAlignment="1" applyProtection="1">
      <alignment horizontal="center"/>
    </xf>
    <xf numFmtId="0" fontId="23" fillId="11" borderId="0" xfId="0" applyFont="1" applyFill="1" applyAlignment="1">
      <alignment horizontal="right"/>
    </xf>
    <xf numFmtId="0" fontId="21" fillId="0" borderId="0" xfId="0" applyFont="1" applyAlignment="1">
      <alignment horizontal="center"/>
    </xf>
    <xf numFmtId="0" fontId="10" fillId="0" borderId="0" xfId="0" applyFont="1" applyAlignment="1" applyProtection="1">
      <alignment horizontal="center"/>
      <protection locked="0"/>
    </xf>
    <xf numFmtId="0" fontId="5" fillId="0" borderId="0" xfId="0" applyFont="1" applyProtection="1">
      <protection locked="0"/>
    </xf>
    <xf numFmtId="0" fontId="64" fillId="9" borderId="0" xfId="0" applyFont="1" applyFill="1" applyAlignment="1">
      <alignment horizontal="right"/>
    </xf>
    <xf numFmtId="0" fontId="103" fillId="0" borderId="0" xfId="1" quotePrefix="1" applyFont="1"/>
    <xf numFmtId="0" fontId="102" fillId="0" borderId="0" xfId="1" applyFont="1" applyAlignment="1"/>
    <xf numFmtId="0" fontId="104" fillId="0" borderId="0" xfId="1" applyFont="1" applyAlignment="1">
      <alignment horizontal="center"/>
    </xf>
    <xf numFmtId="0" fontId="105" fillId="0" borderId="0" xfId="1" applyFont="1" applyAlignment="1">
      <alignment horizontal="center"/>
    </xf>
    <xf numFmtId="1" fontId="0" fillId="0" borderId="0" xfId="0" applyNumberFormat="1" applyAlignment="1">
      <alignment horizontal="center" vertical="center"/>
    </xf>
    <xf numFmtId="1" fontId="0" fillId="5" borderId="0" xfId="0" applyNumberFormat="1" applyFill="1" applyAlignment="1">
      <alignment horizontal="center" vertical="center"/>
    </xf>
    <xf numFmtId="0" fontId="54" fillId="7" borderId="4" xfId="0" applyFont="1" applyFill="1" applyBorder="1" applyAlignment="1">
      <alignment horizontal="right"/>
    </xf>
    <xf numFmtId="0" fontId="54" fillId="0" borderId="4" xfId="0" applyFont="1" applyBorder="1" applyAlignment="1">
      <alignment horizontal="right"/>
    </xf>
    <xf numFmtId="0" fontId="54" fillId="0" borderId="0" xfId="0" applyFont="1" applyAlignment="1">
      <alignment horizontal="right"/>
    </xf>
    <xf numFmtId="0" fontId="54" fillId="0" borderId="5" xfId="0" applyFont="1" applyBorder="1" applyAlignment="1">
      <alignment horizontal="right"/>
    </xf>
    <xf numFmtId="0" fontId="54" fillId="0" borderId="10" xfId="0" applyFont="1" applyBorder="1" applyAlignment="1">
      <alignment horizontal="right"/>
    </xf>
    <xf numFmtId="0" fontId="0" fillId="0" borderId="4" xfId="0" applyBorder="1" applyAlignment="1">
      <alignment horizontal="right" vertical="center"/>
    </xf>
    <xf numFmtId="1" fontId="13" fillId="0" borderId="4" xfId="0" applyNumberFormat="1" applyFont="1" applyBorder="1" applyAlignment="1">
      <alignment horizontal="center"/>
    </xf>
    <xf numFmtId="1" fontId="0" fillId="0" borderId="4" xfId="0" applyNumberFormat="1" applyBorder="1" applyAlignment="1">
      <alignment horizontal="center"/>
    </xf>
    <xf numFmtId="1" fontId="13" fillId="0" borderId="4" xfId="0" applyNumberFormat="1" applyFont="1" applyBorder="1" applyAlignment="1">
      <alignment horizontal="center" vertical="center"/>
    </xf>
    <xf numFmtId="0" fontId="0" fillId="0" borderId="3" xfId="0" applyBorder="1" applyAlignment="1">
      <alignment horizontal="right"/>
    </xf>
    <xf numFmtId="0" fontId="58" fillId="0" borderId="0" xfId="0" applyFont="1" applyAlignment="1" applyProtection="1">
      <alignment horizontal="center" vertical="center"/>
      <protection locked="0"/>
    </xf>
    <xf numFmtId="1" fontId="13" fillId="0" borderId="0" xfId="0" applyNumberFormat="1" applyFont="1" applyAlignment="1">
      <alignment horizontal="center" vertical="center"/>
    </xf>
    <xf numFmtId="167" fontId="10" fillId="9" borderId="0" xfId="0" applyNumberFormat="1" applyFont="1" applyFill="1"/>
    <xf numFmtId="0" fontId="0" fillId="0" borderId="6" xfId="0" applyBorder="1" applyAlignment="1">
      <alignment horizontal="right"/>
    </xf>
    <xf numFmtId="1" fontId="0" fillId="7" borderId="0" xfId="0" applyNumberFormat="1" applyFill="1" applyAlignment="1">
      <alignment horizontal="center" vertical="center"/>
    </xf>
    <xf numFmtId="1" fontId="54" fillId="0" borderId="4" xfId="0" applyNumberFormat="1" applyFont="1" applyBorder="1" applyAlignment="1">
      <alignment horizontal="center" vertical="center"/>
    </xf>
    <xf numFmtId="0" fontId="13" fillId="0" borderId="4" xfId="0" applyFont="1" applyBorder="1" applyAlignment="1">
      <alignment horizontal="center" vertical="center"/>
    </xf>
    <xf numFmtId="0" fontId="106" fillId="0" borderId="0" xfId="0" applyFont="1" applyAlignment="1" applyProtection="1">
      <alignment horizontal="center" vertical="center"/>
      <protection locked="0"/>
    </xf>
    <xf numFmtId="0" fontId="0" fillId="0" borderId="15" xfId="0" applyBorder="1" applyAlignment="1" applyProtection="1">
      <alignment horizontal="center"/>
      <protection locked="0"/>
    </xf>
    <xf numFmtId="0" fontId="5" fillId="0" borderId="15" xfId="0" applyFont="1" applyBorder="1" applyAlignment="1" applyProtection="1">
      <alignment horizontal="center"/>
      <protection locked="0"/>
    </xf>
    <xf numFmtId="0" fontId="54" fillId="0" borderId="4" xfId="0" applyFont="1" applyBorder="1" applyAlignment="1">
      <alignment horizontal="center"/>
    </xf>
    <xf numFmtId="0" fontId="0" fillId="0" borderId="13" xfId="0" applyBorder="1" applyAlignment="1" applyProtection="1">
      <alignment horizontal="center"/>
      <protection locked="0"/>
    </xf>
    <xf numFmtId="0" fontId="13" fillId="0" borderId="13" xfId="0" applyFont="1" applyBorder="1" applyAlignment="1" applyProtection="1">
      <alignment horizontal="center"/>
      <protection locked="0"/>
    </xf>
    <xf numFmtId="1" fontId="107" fillId="0" borderId="4" xfId="0" applyNumberFormat="1" applyFont="1" applyBorder="1" applyAlignment="1">
      <alignment horizontal="center" vertical="center"/>
    </xf>
    <xf numFmtId="0" fontId="107" fillId="0" borderId="0" xfId="0" applyFont="1" applyAlignment="1">
      <alignment horizontal="center"/>
    </xf>
    <xf numFmtId="0" fontId="55" fillId="0" borderId="0" xfId="0" applyFont="1" applyAlignment="1">
      <alignment horizontal="center" vertical="center"/>
    </xf>
    <xf numFmtId="1" fontId="0" fillId="0" borderId="13" xfId="0" applyNumberFormat="1" applyBorder="1" applyAlignment="1">
      <alignment horizontal="center" vertical="center"/>
    </xf>
    <xf numFmtId="0" fontId="0" fillId="0" borderId="10" xfId="0" applyBorder="1" applyAlignment="1" applyProtection="1">
      <alignment horizontal="center"/>
      <protection locked="0"/>
    </xf>
    <xf numFmtId="1" fontId="52" fillId="0" borderId="4" xfId="0" applyNumberFormat="1" applyFont="1" applyBorder="1" applyAlignment="1" applyProtection="1">
      <alignment horizontal="center" vertical="center"/>
      <protection locked="0"/>
    </xf>
    <xf numFmtId="1" fontId="49" fillId="0" borderId="0" xfId="0" applyNumberFormat="1" applyFont="1"/>
    <xf numFmtId="0" fontId="51" fillId="0" borderId="15" xfId="0" applyFont="1" applyBorder="1" applyAlignment="1" applyProtection="1">
      <alignment horizontal="center"/>
      <protection locked="0"/>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3" fillId="0" borderId="15" xfId="0" applyFont="1" applyBorder="1" applyAlignment="1">
      <alignment horizontal="center"/>
    </xf>
    <xf numFmtId="0" fontId="0" fillId="0" borderId="15" xfId="0" applyBorder="1" applyAlignment="1">
      <alignment horizontal="center"/>
    </xf>
    <xf numFmtId="1" fontId="13" fillId="0" borderId="4" xfId="0" applyNumberFormat="1" applyFont="1" applyBorder="1" applyAlignment="1">
      <alignment horizontal="right" vertical="center"/>
    </xf>
    <xf numFmtId="0" fontId="0" fillId="0" borderId="2" xfId="0" applyBorder="1" applyAlignment="1">
      <alignment horizontal="center"/>
    </xf>
    <xf numFmtId="1" fontId="0" fillId="0" borderId="2" xfId="0" applyNumberFormat="1" applyBorder="1" applyAlignment="1">
      <alignment horizontal="center" vertical="center"/>
    </xf>
    <xf numFmtId="0" fontId="0" fillId="0" borderId="12" xfId="0" applyBorder="1" applyAlignment="1">
      <alignment horizontal="center"/>
    </xf>
    <xf numFmtId="0" fontId="0" fillId="0" borderId="13" xfId="0" applyBorder="1" applyAlignment="1">
      <alignment horizontal="center"/>
    </xf>
    <xf numFmtId="0" fontId="51" fillId="0" borderId="13" xfId="0" applyFont="1" applyBorder="1" applyAlignment="1">
      <alignment horizontal="center"/>
    </xf>
    <xf numFmtId="0" fontId="51" fillId="0" borderId="0" xfId="0" applyFont="1" applyAlignment="1">
      <alignment horizontal="center"/>
    </xf>
    <xf numFmtId="0" fontId="13" fillId="0" borderId="11" xfId="0" applyFont="1" applyBorder="1" applyAlignment="1">
      <alignment horizontal="right"/>
    </xf>
    <xf numFmtId="0" fontId="52" fillId="6" borderId="11" xfId="0" applyFont="1" applyFill="1" applyBorder="1" applyProtection="1">
      <protection locked="0"/>
    </xf>
    <xf numFmtId="0" fontId="0" fillId="7" borderId="4" xfId="0" applyFill="1" applyBorder="1"/>
    <xf numFmtId="1" fontId="0" fillId="0" borderId="11" xfId="0" applyNumberFormat="1" applyBorder="1" applyAlignment="1">
      <alignment horizontal="center" vertical="center"/>
    </xf>
    <xf numFmtId="1" fontId="52" fillId="0" borderId="4" xfId="0" applyNumberFormat="1" applyFont="1" applyBorder="1" applyAlignment="1">
      <alignment horizontal="center" vertical="center"/>
    </xf>
    <xf numFmtId="0" fontId="5" fillId="0" borderId="1" xfId="0" applyFont="1" applyBorder="1" applyAlignment="1">
      <alignment horizontal="center" vertical="center"/>
    </xf>
    <xf numFmtId="1" fontId="57" fillId="0" borderId="4" xfId="0" applyNumberFormat="1" applyFont="1" applyBorder="1" applyAlignment="1">
      <alignment horizontal="center" vertical="center"/>
    </xf>
    <xf numFmtId="0" fontId="108" fillId="0" borderId="0" xfId="0" applyFont="1" applyAlignment="1">
      <alignment horizontal="center" vertical="center"/>
    </xf>
    <xf numFmtId="49" fontId="61" fillId="0" borderId="0" xfId="0" applyNumberFormat="1" applyFont="1" applyAlignment="1">
      <alignment horizontal="center" vertical="center"/>
    </xf>
    <xf numFmtId="1" fontId="109" fillId="0" borderId="0" xfId="0" applyNumberFormat="1" applyFont="1" applyAlignment="1">
      <alignment horizontal="center"/>
    </xf>
    <xf numFmtId="0" fontId="110" fillId="0" borderId="13" xfId="0" applyFont="1" applyBorder="1" applyAlignment="1">
      <alignment horizontal="center"/>
    </xf>
    <xf numFmtId="0" fontId="5" fillId="0" borderId="11" xfId="0" applyFont="1" applyBorder="1"/>
    <xf numFmtId="167" fontId="111" fillId="0" borderId="0" xfId="0" applyNumberFormat="1" applyFont="1" applyAlignment="1">
      <alignment horizontal="center" vertical="center"/>
    </xf>
    <xf numFmtId="167" fontId="112" fillId="9" borderId="0" xfId="0" applyNumberFormat="1" applyFont="1" applyFill="1" applyAlignment="1">
      <alignment horizontal="right"/>
    </xf>
    <xf numFmtId="0" fontId="43" fillId="3" borderId="0" xfId="0" applyFont="1" applyFill="1" applyAlignment="1">
      <alignment horizontal="center"/>
    </xf>
    <xf numFmtId="167" fontId="112" fillId="3" borderId="0" xfId="0" applyNumberFormat="1" applyFont="1" applyFill="1" applyAlignment="1">
      <alignment horizontal="right"/>
    </xf>
    <xf numFmtId="167" fontId="112" fillId="9" borderId="0" xfId="0" applyNumberFormat="1" applyFont="1" applyFill="1" applyAlignment="1">
      <alignment horizontal="right" vertical="center"/>
    </xf>
    <xf numFmtId="0" fontId="112" fillId="3" borderId="0" xfId="0" applyFont="1" applyFill="1" applyAlignment="1">
      <alignment horizontal="right"/>
    </xf>
    <xf numFmtId="167" fontId="113" fillId="9" borderId="0" xfId="0" applyNumberFormat="1" applyFont="1" applyFill="1" applyAlignment="1">
      <alignment horizontal="right"/>
    </xf>
    <xf numFmtId="167" fontId="113" fillId="9" borderId="0" xfId="0" applyNumberFormat="1" applyFont="1" applyFill="1" applyAlignment="1">
      <alignment horizontal="right" vertical="center"/>
    </xf>
    <xf numFmtId="0" fontId="17" fillId="0" borderId="0" xfId="0" applyFont="1" applyAlignment="1">
      <alignment horizontal="left"/>
    </xf>
    <xf numFmtId="14" fontId="17" fillId="0" borderId="0" xfId="0" applyNumberFormat="1" applyFont="1" applyAlignment="1">
      <alignment horizontal="left"/>
    </xf>
    <xf numFmtId="167" fontId="114" fillId="9" borderId="0" xfId="0" applyNumberFormat="1" applyFont="1" applyFill="1"/>
    <xf numFmtId="1" fontId="109" fillId="7" borderId="0" xfId="0" applyNumberFormat="1" applyFont="1" applyFill="1" applyAlignment="1" applyProtection="1">
      <alignment horizontal="center"/>
      <protection locked="0"/>
    </xf>
    <xf numFmtId="1" fontId="109" fillId="0" borderId="0" xfId="0" applyNumberFormat="1" applyFont="1" applyAlignment="1" applyProtection="1">
      <alignment horizontal="center"/>
      <protection locked="0"/>
    </xf>
    <xf numFmtId="0" fontId="110" fillId="0" borderId="13" xfId="0" applyFont="1" applyBorder="1" applyAlignment="1" applyProtection="1">
      <alignment horizontal="center"/>
      <protection locked="0"/>
    </xf>
    <xf numFmtId="14" fontId="20" fillId="0" borderId="0" xfId="0" applyNumberFormat="1" applyFont="1" applyAlignment="1" applyProtection="1">
      <alignment horizontal="left"/>
      <protection locked="0"/>
    </xf>
    <xf numFmtId="0" fontId="109" fillId="0" borderId="15" xfId="0" applyFont="1" applyBorder="1" applyAlignment="1">
      <alignment horizontal="center"/>
    </xf>
    <xf numFmtId="0" fontId="115" fillId="3" borderId="0" xfId="0" applyFont="1" applyFill="1" applyAlignment="1">
      <alignment horizontal="right"/>
    </xf>
    <xf numFmtId="0" fontId="70" fillId="0" borderId="0" xfId="1" applyFont="1" applyAlignment="1">
      <alignment horizontal="center"/>
    </xf>
    <xf numFmtId="0" fontId="79" fillId="0" borderId="0" xfId="0" applyFont="1" applyAlignment="1">
      <alignment horizontal="center" vertical="center"/>
    </xf>
    <xf numFmtId="0" fontId="102" fillId="0" borderId="0" xfId="1" applyFont="1" applyAlignment="1">
      <alignment horizontal="center"/>
    </xf>
    <xf numFmtId="0" fontId="1" fillId="0" borderId="0" xfId="0" applyFont="1" applyAlignment="1">
      <alignment horizontal="center"/>
    </xf>
    <xf numFmtId="0" fontId="82" fillId="0" borderId="0" xfId="1" applyNumberFormat="1" applyFont="1" applyAlignment="1" applyProtection="1">
      <alignment horizontal="left"/>
    </xf>
    <xf numFmtId="0" fontId="7" fillId="4" borderId="0" xfId="0" applyFont="1" applyFill="1" applyAlignment="1">
      <alignment horizontal="center"/>
    </xf>
    <xf numFmtId="0" fontId="0" fillId="4" borderId="0" xfId="0" applyFill="1" applyAlignment="1">
      <alignment horizontal="center"/>
    </xf>
    <xf numFmtId="0" fontId="7" fillId="0" borderId="0" xfId="0" applyFont="1" applyAlignment="1">
      <alignment horizontal="center"/>
    </xf>
    <xf numFmtId="0" fontId="1" fillId="0" borderId="1" xfId="0" applyFont="1" applyBorder="1" applyAlignment="1">
      <alignment horizontal="left"/>
    </xf>
    <xf numFmtId="0" fontId="1" fillId="0" borderId="2" xfId="0" applyFont="1" applyBorder="1" applyAlignment="1">
      <alignment horizontal="left"/>
    </xf>
    <xf numFmtId="0" fontId="1" fillId="0" borderId="3" xfId="0" applyFont="1" applyBorder="1" applyAlignment="1">
      <alignment horizontal="left"/>
    </xf>
    <xf numFmtId="0" fontId="8" fillId="0" borderId="0" xfId="0" applyFont="1" applyAlignment="1">
      <alignment horizontal="center" vertical="center"/>
    </xf>
    <xf numFmtId="0" fontId="38" fillId="0" borderId="0" xfId="0" applyFont="1" applyAlignment="1">
      <alignment horizontal="center" vertical="center"/>
    </xf>
    <xf numFmtId="0" fontId="82" fillId="0" borderId="0" xfId="1" applyFont="1" applyAlignment="1" applyProtection="1">
      <alignment horizontal="left" vertical="center"/>
    </xf>
    <xf numFmtId="0" fontId="82" fillId="0" borderId="0" xfId="1" applyFont="1" applyAlignment="1" applyProtection="1">
      <alignment horizontal="left"/>
    </xf>
    <xf numFmtId="0" fontId="26" fillId="0" borderId="0" xfId="0" applyFont="1" applyAlignment="1">
      <alignment horizontal="center" vertical="center"/>
    </xf>
    <xf numFmtId="165" fontId="29" fillId="0" borderId="0" xfId="0" applyNumberFormat="1" applyFont="1" applyAlignment="1">
      <alignment horizontal="left" vertical="center"/>
    </xf>
    <xf numFmtId="0" fontId="7" fillId="0" borderId="1" xfId="0" applyFont="1" applyBorder="1" applyAlignment="1" applyProtection="1">
      <alignment horizontal="center" vertical="center"/>
      <protection locked="0"/>
    </xf>
    <xf numFmtId="0" fontId="7" fillId="0" borderId="2"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8" fillId="5" borderId="0" xfId="0" applyFont="1" applyFill="1" applyAlignment="1">
      <alignment horizontal="center" vertical="center"/>
    </xf>
    <xf numFmtId="0" fontId="40" fillId="0" borderId="0" xfId="0" applyFont="1" applyAlignment="1">
      <alignment horizontal="center"/>
    </xf>
    <xf numFmtId="0" fontId="82" fillId="0" borderId="0" xfId="1" applyNumberFormat="1" applyFont="1" applyAlignment="1" applyProtection="1">
      <alignment horizontal="center"/>
    </xf>
    <xf numFmtId="0" fontId="12" fillId="0" borderId="0" xfId="0" applyFont="1" applyAlignment="1">
      <alignment horizontal="right"/>
    </xf>
    <xf numFmtId="0" fontId="18" fillId="2" borderId="1" xfId="0" applyFont="1" applyFill="1" applyBorder="1" applyAlignment="1" applyProtection="1">
      <alignment horizontal="center" vertical="center"/>
      <protection locked="0"/>
    </xf>
    <xf numFmtId="0" fontId="18" fillId="2" borderId="2" xfId="0" applyFont="1" applyFill="1" applyBorder="1" applyAlignment="1" applyProtection="1">
      <alignment horizontal="center" vertical="center"/>
      <protection locked="0"/>
    </xf>
    <xf numFmtId="0" fontId="18" fillId="2" borderId="3" xfId="0" applyFont="1" applyFill="1" applyBorder="1" applyAlignment="1" applyProtection="1">
      <alignment horizontal="center" vertical="center"/>
      <protection locked="0"/>
    </xf>
    <xf numFmtId="166" fontId="18" fillId="2" borderId="1" xfId="0" applyNumberFormat="1" applyFont="1" applyFill="1" applyBorder="1" applyAlignment="1" applyProtection="1">
      <alignment horizontal="center" vertical="center"/>
      <protection locked="0"/>
    </xf>
    <xf numFmtId="166" fontId="18" fillId="2" borderId="3" xfId="0" applyNumberFormat="1"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protection locked="0"/>
    </xf>
    <xf numFmtId="0" fontId="7" fillId="2" borderId="2" xfId="0" applyFont="1" applyFill="1" applyBorder="1" applyAlignment="1" applyProtection="1">
      <alignment horizontal="center" vertical="center"/>
      <protection locked="0"/>
    </xf>
    <xf numFmtId="0" fontId="7" fillId="2" borderId="3" xfId="0" applyFont="1" applyFill="1" applyBorder="1" applyAlignment="1" applyProtection="1">
      <alignment horizontal="center" vertical="center"/>
      <protection locked="0"/>
    </xf>
    <xf numFmtId="0" fontId="1" fillId="0" borderId="8" xfId="0" applyFont="1" applyBorder="1" applyAlignment="1">
      <alignment horizontal="center"/>
    </xf>
    <xf numFmtId="0" fontId="44" fillId="0" borderId="0" xfId="0" applyFont="1" applyAlignment="1">
      <alignment horizontal="center" vertical="top"/>
    </xf>
    <xf numFmtId="0" fontId="19" fillId="0" borderId="0" xfId="1" applyFont="1" applyAlignment="1" applyProtection="1">
      <alignment horizontal="left" vertical="center"/>
    </xf>
    <xf numFmtId="0" fontId="7" fillId="0" borderId="0" xfId="0" applyFont="1" applyAlignment="1">
      <alignment horizontal="left"/>
    </xf>
    <xf numFmtId="0" fontId="18" fillId="0" borderId="0" xfId="0" applyFont="1" applyAlignment="1">
      <alignment horizontal="left"/>
    </xf>
    <xf numFmtId="0" fontId="31" fillId="0" borderId="0" xfId="0" applyFont="1" applyAlignment="1">
      <alignment horizontal="center" vertical="center"/>
    </xf>
    <xf numFmtId="0" fontId="82" fillId="0" borderId="0" xfId="1" applyNumberFormat="1" applyFont="1" applyFill="1" applyAlignment="1" applyProtection="1">
      <alignment horizontal="center"/>
    </xf>
    <xf numFmtId="0" fontId="82" fillId="0" borderId="0" xfId="1" applyNumberFormat="1" applyFont="1" applyAlignment="1" applyProtection="1">
      <alignment horizontal="center" vertical="center"/>
    </xf>
    <xf numFmtId="0" fontId="82" fillId="0" borderId="0" xfId="1" applyFont="1" applyAlignment="1" applyProtection="1">
      <alignment horizontal="center" vertical="center"/>
    </xf>
    <xf numFmtId="0" fontId="82" fillId="0" borderId="0" xfId="1" applyFont="1" applyAlignment="1" applyProtection="1">
      <alignment horizontal="center"/>
    </xf>
    <xf numFmtId="0" fontId="8" fillId="0" borderId="0" xfId="0" applyFont="1" applyAlignment="1">
      <alignment horizontal="right" vertical="center"/>
    </xf>
    <xf numFmtId="0" fontId="22" fillId="0" borderId="0" xfId="1" applyFont="1" applyAlignment="1" applyProtection="1">
      <alignment horizontal="center"/>
    </xf>
    <xf numFmtId="0" fontId="1" fillId="0" borderId="0" xfId="0" applyFont="1" applyAlignment="1">
      <alignment horizontal="center" vertical="top"/>
    </xf>
    <xf numFmtId="0" fontId="11" fillId="0" borderId="0" xfId="0" applyFont="1" applyAlignment="1">
      <alignment horizontal="center"/>
    </xf>
    <xf numFmtId="0" fontId="82" fillId="0" borderId="0" xfId="1" applyFont="1" applyAlignment="1">
      <alignment horizontal="center" vertical="center"/>
    </xf>
    <xf numFmtId="0" fontId="82" fillId="0" borderId="0" xfId="1" applyFont="1" applyFill="1" applyAlignment="1">
      <alignment horizontal="center"/>
    </xf>
    <xf numFmtId="0" fontId="7" fillId="4" borderId="0" xfId="0" applyFont="1" applyFill="1" applyAlignment="1">
      <alignment horizontal="center" vertical="top"/>
    </xf>
    <xf numFmtId="0" fontId="1" fillId="0" borderId="0" xfId="0" applyFont="1" applyAlignment="1" applyProtection="1">
      <alignment horizontal="center"/>
      <protection locked="0"/>
    </xf>
    <xf numFmtId="0" fontId="82" fillId="0" borderId="0" xfId="1" applyFont="1" applyAlignment="1">
      <alignment horizontal="center"/>
    </xf>
    <xf numFmtId="0" fontId="82" fillId="0" borderId="0" xfId="1" applyNumberFormat="1" applyFont="1" applyAlignment="1">
      <alignment horizontal="center"/>
    </xf>
    <xf numFmtId="0" fontId="82" fillId="0" borderId="9" xfId="1" applyFont="1" applyBorder="1" applyAlignment="1">
      <alignment horizontal="center" vertical="center"/>
    </xf>
    <xf numFmtId="0" fontId="22" fillId="0" borderId="0" xfId="1" applyFont="1" applyAlignment="1">
      <alignment horizontal="left" vertical="center"/>
    </xf>
    <xf numFmtId="0" fontId="22" fillId="0" borderId="0" xfId="1" applyFont="1" applyAlignment="1">
      <alignment horizontal="center"/>
    </xf>
    <xf numFmtId="0" fontId="81" fillId="0" borderId="0" xfId="0" applyFont="1" applyAlignment="1">
      <alignment horizontal="center" vertical="center"/>
    </xf>
    <xf numFmtId="0" fontId="21" fillId="9" borderId="0" xfId="0" applyFont="1" applyFill="1" applyAlignment="1">
      <alignment horizontal="center" vertical="center"/>
    </xf>
    <xf numFmtId="0" fontId="21" fillId="9" borderId="5" xfId="0" applyFont="1" applyFill="1" applyBorder="1" applyAlignment="1">
      <alignment horizontal="center"/>
    </xf>
    <xf numFmtId="0" fontId="21" fillId="9" borderId="7" xfId="0" applyFont="1" applyFill="1" applyBorder="1" applyAlignment="1">
      <alignment horizontal="center"/>
    </xf>
    <xf numFmtId="0" fontId="21" fillId="9" borderId="0" xfId="0" applyFont="1" applyFill="1" applyAlignment="1">
      <alignment horizontal="center"/>
    </xf>
    <xf numFmtId="0" fontId="57" fillId="0" borderId="8" xfId="0" applyFont="1" applyBorder="1" applyAlignment="1" applyProtection="1">
      <alignment horizontal="center"/>
      <protection locked="0"/>
    </xf>
    <xf numFmtId="0" fontId="57" fillId="0" borderId="0" xfId="0" applyFont="1" applyAlignment="1" applyProtection="1">
      <alignment horizontal="center"/>
      <protection locked="0"/>
    </xf>
    <xf numFmtId="49" fontId="0" fillId="3" borderId="5" xfId="0" applyNumberFormat="1" applyFill="1" applyBorder="1" applyAlignment="1" applyProtection="1">
      <alignment horizontal="left" vertical="top" wrapText="1" indent="1" readingOrder="1"/>
      <protection locked="0"/>
    </xf>
    <xf numFmtId="49" fontId="0" fillId="3" borderId="6" xfId="0" applyNumberFormat="1" applyFill="1" applyBorder="1" applyAlignment="1" applyProtection="1">
      <alignment horizontal="left" vertical="top" wrapText="1" indent="1" readingOrder="1"/>
      <protection locked="0"/>
    </xf>
    <xf numFmtId="49" fontId="0" fillId="3" borderId="7" xfId="0" applyNumberFormat="1" applyFill="1" applyBorder="1" applyAlignment="1" applyProtection="1">
      <alignment horizontal="left" vertical="top" wrapText="1" indent="1" readingOrder="1"/>
      <protection locked="0"/>
    </xf>
    <xf numFmtId="49" fontId="0" fillId="3" borderId="8" xfId="0" applyNumberFormat="1" applyFill="1" applyBorder="1" applyAlignment="1" applyProtection="1">
      <alignment horizontal="left" vertical="top" wrapText="1" indent="1" readingOrder="1"/>
      <protection locked="0"/>
    </xf>
    <xf numFmtId="49" fontId="0" fillId="3" borderId="0" xfId="0" applyNumberFormat="1" applyFill="1" applyAlignment="1" applyProtection="1">
      <alignment horizontal="left" vertical="top" wrapText="1" indent="1" readingOrder="1"/>
      <protection locked="0"/>
    </xf>
    <xf numFmtId="49" fontId="0" fillId="3" borderId="9" xfId="0" applyNumberFormat="1" applyFill="1" applyBorder="1" applyAlignment="1" applyProtection="1">
      <alignment horizontal="left" vertical="top" wrapText="1" indent="1" readingOrder="1"/>
      <protection locked="0"/>
    </xf>
    <xf numFmtId="49" fontId="0" fillId="3" borderId="10" xfId="0" applyNumberFormat="1" applyFill="1" applyBorder="1" applyAlignment="1" applyProtection="1">
      <alignment horizontal="left" vertical="top" wrapText="1" indent="1" readingOrder="1"/>
      <protection locked="0"/>
    </xf>
    <xf numFmtId="49" fontId="0" fillId="3" borderId="11" xfId="0" applyNumberFormat="1" applyFill="1" applyBorder="1" applyAlignment="1" applyProtection="1">
      <alignment horizontal="left" vertical="top" wrapText="1" indent="1" readingOrder="1"/>
      <protection locked="0"/>
    </xf>
    <xf numFmtId="49" fontId="0" fillId="3" borderId="12" xfId="0" applyNumberFormat="1" applyFill="1" applyBorder="1" applyAlignment="1" applyProtection="1">
      <alignment horizontal="left" vertical="top" wrapText="1" indent="1" readingOrder="1"/>
      <protection locked="0"/>
    </xf>
    <xf numFmtId="0" fontId="82" fillId="0" borderId="0" xfId="1" applyFont="1" applyAlignment="1">
      <alignment horizontal="left" vertical="center"/>
    </xf>
    <xf numFmtId="0" fontId="82" fillId="0" borderId="0" xfId="1" applyFont="1" applyAlignment="1">
      <alignment horizontal="left"/>
    </xf>
    <xf numFmtId="0" fontId="18" fillId="2" borderId="4" xfId="0" applyFont="1" applyFill="1" applyBorder="1" applyAlignment="1" applyProtection="1">
      <alignment horizontal="center" vertical="center"/>
      <protection locked="0"/>
    </xf>
    <xf numFmtId="166" fontId="18" fillId="2" borderId="4" xfId="0" applyNumberFormat="1" applyFont="1" applyFill="1" applyBorder="1" applyAlignment="1" applyProtection="1">
      <alignment horizontal="center" vertical="center"/>
      <protection locked="0"/>
    </xf>
    <xf numFmtId="0" fontId="73" fillId="0" borderId="0" xfId="1" applyFont="1" applyAlignment="1" applyProtection="1">
      <alignment horizontal="center" vertical="center"/>
    </xf>
    <xf numFmtId="0" fontId="82" fillId="0" borderId="0" xfId="1" applyFont="1" applyAlignment="1" applyProtection="1">
      <alignment horizontal="right" vertical="center"/>
    </xf>
    <xf numFmtId="0" fontId="22" fillId="0" borderId="0" xfId="1" applyFont="1" applyAlignment="1" applyProtection="1">
      <alignment horizontal="left" vertical="center"/>
    </xf>
    <xf numFmtId="0" fontId="82" fillId="0" borderId="0" xfId="1" applyFont="1" applyFill="1" applyAlignment="1" applyProtection="1">
      <alignment horizontal="center"/>
    </xf>
    <xf numFmtId="0" fontId="20" fillId="0" borderId="0" xfId="0" applyFont="1" applyAlignment="1">
      <alignment horizontal="center"/>
    </xf>
    <xf numFmtId="0" fontId="20" fillId="0" borderId="0" xfId="0" applyFont="1" applyAlignment="1">
      <alignment horizontal="left"/>
    </xf>
    <xf numFmtId="0" fontId="40" fillId="0" borderId="0" xfId="0" applyFont="1" applyAlignment="1">
      <alignment horizontal="left"/>
    </xf>
    <xf numFmtId="0" fontId="94" fillId="0" borderId="0" xfId="0" applyFont="1" applyAlignment="1">
      <alignment horizontal="center" vertical="center"/>
    </xf>
    <xf numFmtId="0" fontId="1" fillId="4" borderId="0" xfId="0" applyFont="1" applyFill="1" applyAlignment="1">
      <alignment horizontal="center"/>
    </xf>
    <xf numFmtId="0" fontId="1" fillId="4" borderId="0" xfId="0" applyFont="1" applyFill="1" applyAlignment="1">
      <alignment horizontal="center" vertical="center"/>
    </xf>
    <xf numFmtId="0" fontId="1" fillId="4" borderId="0" xfId="0" applyFont="1" applyFill="1" applyAlignment="1">
      <alignment horizontal="center" vertical="top"/>
    </xf>
    <xf numFmtId="0" fontId="116" fillId="0" borderId="0" xfId="0" applyFont="1" applyAlignment="1">
      <alignment horizontal="right" vertical="center"/>
    </xf>
    <xf numFmtId="0" fontId="117" fillId="0" borderId="1" xfId="0" applyFont="1" applyBorder="1" applyAlignment="1">
      <alignment horizontal="center" vertical="center"/>
    </xf>
    <xf numFmtId="0" fontId="117" fillId="0" borderId="2" xfId="0" applyFont="1" applyBorder="1" applyAlignment="1">
      <alignment horizontal="center" vertical="center"/>
    </xf>
    <xf numFmtId="0" fontId="117" fillId="0" borderId="3" xfId="0" applyFont="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FF9900"/>
      <color rgb="FFF8CB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Radio" firstButton="1" fmlaLink="Weights!$F$34" lockText="1" noThreeD="1"/>
</file>

<file path=xl/ctrlProps/ctrlProp10.xml><?xml version="1.0" encoding="utf-8"?>
<formControlPr xmlns="http://schemas.microsoft.com/office/spreadsheetml/2009/9/main" objectType="Radio" firstButton="1" fmlaLink="Weights!$F$11"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CheckBox" fmlaLink="Weights!$F$150" lockText="1" noThreeD="1"/>
</file>

<file path=xl/ctrlProps/ctrlProp117.xml><?xml version="1.0" encoding="utf-8"?>
<formControlPr xmlns="http://schemas.microsoft.com/office/spreadsheetml/2009/9/main" objectType="Radio" firstButton="1" fmlaLink="Weights!$F$2"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checked="Checked"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checked="Checked"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checked="Checked" lockText="1"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CheckBox" fmlaLink="Weights!$F$133" lockText="1"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Radio" firstButton="1" fmlaLink="Weights!$F$139"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Radio" checked="Checked" lockText="1" noThreeD="1"/>
</file>

<file path=xl/ctrlProps/ctrlProp148.xml><?xml version="1.0" encoding="utf-8"?>
<formControlPr xmlns="http://schemas.microsoft.com/office/spreadsheetml/2009/9/main" objectType="CheckBox" fmlaLink="Weights!$F$145" lockText="1" noThreeD="1"/>
</file>

<file path=xl/ctrlProps/ctrlProp149.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CheckBox" fmlaLink="Weights!$F$99" lockText="1"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Radio" firstButton="1" fmlaLink="Weights!$F$26"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checked="Checked"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CheckBox" fmlaLink="E213"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checked="Checked" lockText="1" noThreeD="1"/>
</file>

<file path=xl/ctrlProps/ctrlProp163.xml><?xml version="1.0" encoding="utf-8"?>
<formControlPr xmlns="http://schemas.microsoft.com/office/spreadsheetml/2009/9/main" objectType="Radio" firstButton="1" fmlaLink="Weights_U3!$F$33" lockText="1" noThreeD="1"/>
</file>

<file path=xl/ctrlProps/ctrlProp164.xml><?xml version="1.0" encoding="utf-8"?>
<formControlPr xmlns="http://schemas.microsoft.com/office/spreadsheetml/2009/9/main" objectType="Radio" firstButton="1" fmlaLink="Weights_U3!$F$16"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Radio" checked="Checked" firstButton="1" fmlaLink="Weights!$F$44" lockText="1" noThreeD="1"/>
</file>

<file path=xl/ctrlProps/ctrlProp170.xml><?xml version="1.0" encoding="utf-8"?>
<formControlPr xmlns="http://schemas.microsoft.com/office/spreadsheetml/2009/9/main" objectType="Radio" firstButton="1" fmlaLink="Weights_U3!$F$11"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checked="Checked"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Radio" firstButton="1" fmlaLink="Weights_U3!$F$43"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Radio" firstButton="1" fmlaLink="Weights_U3!$F$51"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Radio" firstButton="1" fmlaLink="Weights_U3!$F$103" lockText="1" noThreeD="1"/>
</file>

<file path=xl/ctrlProps/ctrlProp189.xml><?xml version="1.0" encoding="utf-8"?>
<formControlPr xmlns="http://schemas.microsoft.com/office/spreadsheetml/2009/9/main" objectType="Radio" firstButton="1" fmlaLink="Weights_U3!$F$62" lockText="1"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checked="Checked" lockText="1" noThreeD="1"/>
</file>

<file path=xl/ctrlProps/ctrlProp194.xml><?xml version="1.0" encoding="utf-8"?>
<formControlPr xmlns="http://schemas.microsoft.com/office/spreadsheetml/2009/9/main" objectType="CheckBox" fmlaLink="Weights_U3!$F$70" lockText="1"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Radio" firstButton="1" fmlaLink="Weights_U3!$F$72" lockText="1" noThreeD="1"/>
</file>

<file path=xl/ctrlProps/ctrlProp197.xml><?xml version="1.0" encoding="utf-8"?>
<formControlPr xmlns="http://schemas.microsoft.com/office/spreadsheetml/2009/9/main" objectType="Radio" checked="Checked"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Radio" firstButton="1" fmlaLink="Weights_U3!$F$78" lockText="1" noThreeD="1"/>
</file>

<file path=xl/ctrlProps/ctrlProp2.xml><?xml version="1.0" encoding="utf-8"?>
<formControlPr xmlns="http://schemas.microsoft.com/office/spreadsheetml/2009/9/main" objectType="Radio" firstButton="1" fmlaLink="Weights!$F$16" lockText="1"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Radio" firstButton="1" fmlaLink="Weights_U3!$F$111" lockText="1" noThreeD="1"/>
</file>

<file path=xl/ctrlProps/ctrlProp206.xml><?xml version="1.0" encoding="utf-8"?>
<formControlPr xmlns="http://schemas.microsoft.com/office/spreadsheetml/2009/9/main" objectType="Radio" lockText="1" noThreeD="1"/>
</file>

<file path=xl/ctrlProps/ctrlProp207.xml><?xml version="1.0" encoding="utf-8"?>
<formControlPr xmlns="http://schemas.microsoft.com/office/spreadsheetml/2009/9/main" objectType="Radio" checked="Checked" lockText="1"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fmlaLink="Weights_U3!$F$117" lockText="1" noThreeD="1"/>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Radio" checked="Checked"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CheckBox" fmlaLink="Weights_U3!$F$124" lockText="1"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Radio" firstButton="1" fmlaLink="Weights_U3!$F$132"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Radio" checked="Checked" lockText="1" noThreeD="1"/>
</file>

<file path=xl/ctrlProps/ctrlProp221.xml><?xml version="1.0" encoding="utf-8"?>
<formControlPr xmlns="http://schemas.microsoft.com/office/spreadsheetml/2009/9/main" objectType="CheckBox" fmlaLink="Weights_U3!$F$143" lockText="1" noThreeD="1"/>
</file>

<file path=xl/ctrlProps/ctrlProp222.xml><?xml version="1.0" encoding="utf-8"?>
<formControlPr xmlns="http://schemas.microsoft.com/office/spreadsheetml/2009/9/main" objectType="CheckBox" fmlaLink="Weights_U3!$F$144" lockText="1"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Radio" firstButton="1" fmlaLink="Weights_U3!$F$103" lockText="1" noThreeD="1"/>
</file>

<file path=xl/ctrlProps/ctrlProp225.xml><?xml version="1.0" encoding="utf-8"?>
<formControlPr xmlns="http://schemas.microsoft.com/office/spreadsheetml/2009/9/main" objectType="Radio" lockText="1" noThreeD="1"/>
</file>

<file path=xl/ctrlProps/ctrlProp226.xml><?xml version="1.0" encoding="utf-8"?>
<formControlPr xmlns="http://schemas.microsoft.com/office/spreadsheetml/2009/9/main" objectType="Radio"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Radio" checked="Checked"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CheckBox" fmlaLink="Weights_U3!$F$145" lockText="1" noThreeD="1"/>
</file>

<file path=xl/ctrlProps/ctrlProp231.xml><?xml version="1.0" encoding="utf-8"?>
<formControlPr xmlns="http://schemas.microsoft.com/office/spreadsheetml/2009/9/main" objectType="CheckBox" fmlaLink="Weights_U3!$F$146" lockText="1" noThreeD="1"/>
</file>

<file path=xl/ctrlProps/ctrlProp232.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Radio" checked="Checked" firstButton="1" fmlaLink="Weights_U3!$F$126"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firstButton="1" fmlaLink="Weights!$F$52"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Radio" lockText="1" noThreeD="1"/>
</file>

<file path=xl/ctrlProps/ctrlProp263.xml><?xml version="1.0" encoding="utf-8"?>
<formControlPr xmlns="http://schemas.microsoft.com/office/spreadsheetml/2009/9/main" objectType="Radio"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CheckBox" fmlaLink="Weights_U3!$F$147" lockText="1" noThreeD="1"/>
</file>

<file path=xl/ctrlProps/ctrlProp283.xml><?xml version="1.0" encoding="utf-8"?>
<formControlPr xmlns="http://schemas.microsoft.com/office/spreadsheetml/2009/9/main" objectType="Radio" firstButton="1" fmlaLink="Weights_U3!$F$2"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firstButton="1" fmlaLink="Weights!$F$63"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checked="Checked" lockText="1"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Radio" firstButton="1" fmlaLink="Weights_U3!$F$56"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CheckBox" fmlaLink="Weights_U3!$F$130"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Radio" firstButton="1" fmlaLink="Weights_U3!$F$136"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checked="Checked"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Radio" lockText="1" noThreeD="1"/>
</file>

<file path=xl/ctrlProps/ctrlProp315.xml><?xml version="1.0" encoding="utf-8"?>
<formControlPr xmlns="http://schemas.microsoft.com/office/spreadsheetml/2009/9/main" objectType="CheckBox" fmlaLink="Weights_U3!$F$142" lockText="1" noThreeD="1"/>
</file>

<file path=xl/ctrlProps/ctrlProp316.xml><?xml version="1.0" encoding="utf-8"?>
<formControlPr xmlns="http://schemas.microsoft.com/office/spreadsheetml/2009/9/main" objectType="Radio" checked="Checked"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checked="Checked"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20.xml><?xml version="1.0" encoding="utf-8"?>
<formControlPr xmlns="http://schemas.microsoft.com/office/spreadsheetml/2009/9/main" objectType="Radio" checked="Checked" lockText="1" noThreeD="1"/>
</file>

<file path=xl/ctrlProps/ctrlProp321.xml><?xml version="1.0" encoding="utf-8"?>
<formControlPr xmlns="http://schemas.microsoft.com/office/spreadsheetml/2009/9/main" objectType="Radio" checked="Checked" lockText="1" noThreeD="1"/>
</file>

<file path=xl/ctrlProps/ctrlProp322.xml><?xml version="1.0" encoding="utf-8"?>
<formControlPr xmlns="http://schemas.microsoft.com/office/spreadsheetml/2009/9/main" objectType="CheckBox" fmlaLink="Weights_U3!$F$98" lockText="1" noThreeD="1"/>
</file>

<file path=xl/ctrlProps/ctrlProp323.xml><?xml version="1.0" encoding="utf-8"?>
<formControlPr xmlns="http://schemas.microsoft.com/office/spreadsheetml/2009/9/main" objectType="Radio" checked="Checked" lockText="1" noThreeD="1"/>
</file>

<file path=xl/ctrlProps/ctrlProp324.xml><?xml version="1.0" encoding="utf-8"?>
<formControlPr xmlns="http://schemas.microsoft.com/office/spreadsheetml/2009/9/main" objectType="GBox" noThreeD="1"/>
</file>

<file path=xl/ctrlProps/ctrlProp325.xml><?xml version="1.0" encoding="utf-8"?>
<formControlPr xmlns="http://schemas.microsoft.com/office/spreadsheetml/2009/9/main" objectType="Radio" checked="Checked" firstButton="1" fmlaLink="Weights_U3!$F$26"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checked="Checked" lockText="1" noThreeD="1"/>
</file>

<file path=xl/ctrlProps/ctrlProp330.xml><?xml version="1.0" encoding="utf-8"?>
<formControlPr xmlns="http://schemas.microsoft.com/office/spreadsheetml/2009/9/main" objectType="Radio" lockText="1" noThreeD="1"/>
</file>

<file path=xl/ctrlProps/ctrlProp331.xml><?xml version="1.0" encoding="utf-8"?>
<formControlPr xmlns="http://schemas.microsoft.com/office/spreadsheetml/2009/9/main" objectType="Radio" checked="Checked" lockText="1" noThreeD="1"/>
</file>

<file path=xl/ctrlProps/ctrlProp332.xml><?xml version="1.0" encoding="utf-8"?>
<formControlPr xmlns="http://schemas.microsoft.com/office/spreadsheetml/2009/9/main" objectType="CheckBox" fmlaLink="$E$213"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firstButton="1" fmlaLink="Weights_Swing!$F$34" lockText="1" noThreeD="1"/>
</file>

<file path=xl/ctrlProps/ctrlProp335.xml><?xml version="1.0" encoding="utf-8"?>
<formControlPr xmlns="http://schemas.microsoft.com/office/spreadsheetml/2009/9/main" objectType="Radio" firstButton="1" fmlaLink="Weights_Swing!$F$16"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Radio" checked="Checked" firstButton="1" fmlaLink="Weights_Swing!$F$127" lockText="1" noThreeD="1"/>
</file>

<file path=xl/ctrlProps/ctrlProp341.xml><?xml version="1.0" encoding="utf-8"?>
<formControlPr xmlns="http://schemas.microsoft.com/office/spreadsheetml/2009/9/main" objectType="Radio" firstButton="1" fmlaLink="Weights_Swing!$F$11"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Radio" checked="Checked"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GBox"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Radio" lockText="1" noThreeD="1"/>
</file>

<file path=xl/ctrlProps/ctrlProp349.xml><?xml version="1.0" encoding="utf-8"?>
<formControlPr xmlns="http://schemas.microsoft.com/office/spreadsheetml/2009/9/main" objectType="Radio" firstButton="1" fmlaLink="Weights_Swing!$F$44" lockText="1" noThreeD="1"/>
</file>

<file path=xl/ctrlProps/ctrlProp35.xml><?xml version="1.0" encoding="utf-8"?>
<formControlPr xmlns="http://schemas.microsoft.com/office/spreadsheetml/2009/9/main" objectType="Radio" checked="Checked" lockText="1" noThreeD="1"/>
</file>

<file path=xl/ctrlProps/ctrlProp350.xml><?xml version="1.0" encoding="utf-8"?>
<formControlPr xmlns="http://schemas.microsoft.com/office/spreadsheetml/2009/9/main" objectType="Radio"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Radio" lockText="1" noThreeD="1"/>
</file>

<file path=xl/ctrlProps/ctrlProp354.xml><?xml version="1.0" encoding="utf-8"?>
<formControlPr xmlns="http://schemas.microsoft.com/office/spreadsheetml/2009/9/main" objectType="Radio" lockText="1"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Radio" firstButton="1" fmlaLink="Weights_Swing!$F$52" lockText="1" noThreeD="1"/>
</file>

<file path=xl/ctrlProps/ctrlProp358.xml><?xml version="1.0" encoding="utf-8"?>
<formControlPr xmlns="http://schemas.microsoft.com/office/spreadsheetml/2009/9/main" objectType="Radio" lockText="1"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CheckBox" fmlaLink="Weights!$F$70" lockText="1" noThreeD="1"/>
</file>

<file path=xl/ctrlProps/ctrlProp360.xml><?xml version="1.0" encoding="utf-8"?>
<formControlPr xmlns="http://schemas.microsoft.com/office/spreadsheetml/2009/9/main" objectType="Radio" lockText="1" noThreeD="1"/>
</file>

<file path=xl/ctrlProps/ctrlProp361.xml><?xml version="1.0" encoding="utf-8"?>
<formControlPr xmlns="http://schemas.microsoft.com/office/spreadsheetml/2009/9/main" objectType="Radio" firstButton="1" fmlaLink="Weights_Swing!$F$63" lockText="1" noThreeD="1"/>
</file>

<file path=xl/ctrlProps/ctrlProp362.xml><?xml version="1.0" encoding="utf-8"?>
<formControlPr xmlns="http://schemas.microsoft.com/office/spreadsheetml/2009/9/main" objectType="Radio"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Radio" lockText="1" noThreeD="1"/>
</file>

<file path=xl/ctrlProps/ctrlProp367.xml><?xml version="1.0" encoding="utf-8"?>
<formControlPr xmlns="http://schemas.microsoft.com/office/spreadsheetml/2009/9/main" objectType="CheckBox" fmlaLink="Weights_Swing!$F$70" lockText="1" noThreeD="1"/>
</file>

<file path=xl/ctrlProps/ctrlProp368.xml><?xml version="1.0" encoding="utf-8"?>
<formControlPr xmlns="http://schemas.microsoft.com/office/spreadsheetml/2009/9/main" objectType="GBox"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CheckBox" fmlaLink="Weights!$F$71" lockText="1" noThreeD="1"/>
</file>

<file path=xl/ctrlProps/ctrlProp370.xml><?xml version="1.0" encoding="utf-8"?>
<formControlPr xmlns="http://schemas.microsoft.com/office/spreadsheetml/2009/9/main" objectType="Radio" firstButton="1" fmlaLink="Weights_Swing!$F$73" lockText="1" noThreeD="1"/>
</file>

<file path=xl/ctrlProps/ctrlProp371.xml><?xml version="1.0" encoding="utf-8"?>
<formControlPr xmlns="http://schemas.microsoft.com/office/spreadsheetml/2009/9/main" objectType="Radio" firstButton="1" fmlaLink="Weights_Swing!$F$79" lockText="1" noThreeD="1"/>
</file>

<file path=xl/ctrlProps/ctrlProp372.xml><?xml version="1.0" encoding="utf-8"?>
<formControlPr xmlns="http://schemas.microsoft.com/office/spreadsheetml/2009/9/main" objectType="Radio"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Radio" lockText="1" noThreeD="1"/>
</file>

<file path=xl/ctrlProps/ctrlProp377.xml><?xml version="1.0" encoding="utf-8"?>
<formControlPr xmlns="http://schemas.microsoft.com/office/spreadsheetml/2009/9/main" objectType="Radio" firstButton="1" fmlaLink="Weights_Swing!$F$112"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GBox" noThreeD="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Radio"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Radio" firstButton="1" fmlaLink="Weights_Swing!$F$118"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CheckBox" fmlaLink="Weights_Swing!$F$125" lockText="1"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firstButton="1" fmlaLink="Weights!$F$73"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Radio" firstButton="1" fmlaLink="Weights_Swing!$F$133" lockText="1" noThreeD="1"/>
</file>

<file path=xl/ctrlProps/ctrlProp392.xml><?xml version="1.0" encoding="utf-8"?>
<formControlPr xmlns="http://schemas.microsoft.com/office/spreadsheetml/2009/9/main" objectType="Radio" checked="Checked" lockText="1" noThreeD="1"/>
</file>

<file path=xl/ctrlProps/ctrlProp393.xml><?xml version="1.0" encoding="utf-8"?>
<formControlPr xmlns="http://schemas.microsoft.com/office/spreadsheetml/2009/9/main" objectType="CheckBox" fmlaLink="Weights!$F$146" lockText="1" noThreeD="1"/>
</file>

<file path=xl/ctrlProps/ctrlProp394.xml><?xml version="1.0" encoding="utf-8"?>
<formControlPr xmlns="http://schemas.microsoft.com/office/spreadsheetml/2009/9/main" objectType="CheckBox" fmlaLink="Weights!$F$147" lockText="1"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firstButton="1" fmlaLink="Weights_Swing!$F$104"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Radio" lockText="1" noThreeD="1"/>
</file>

<file path=xl/ctrlProps/ctrlProp401.xml><?xml version="1.0" encoding="utf-8"?>
<formControlPr xmlns="http://schemas.microsoft.com/office/spreadsheetml/2009/9/main" objectType="CheckBox" fmlaLink="Weights!$F$148" lockText="1" noThreeD="1"/>
</file>

<file path=xl/ctrlProps/ctrlProp402.xml><?xml version="1.0" encoding="utf-8"?>
<formControlPr xmlns="http://schemas.microsoft.com/office/spreadsheetml/2009/9/main" objectType="CheckBox" fmlaLink="Weights!$F$149" lockText="1" noThreeD="1"/>
</file>

<file path=xl/ctrlProps/ctrlProp403.xml><?xml version="1.0" encoding="utf-8"?>
<formControlPr xmlns="http://schemas.microsoft.com/office/spreadsheetml/2009/9/main" objectType="Radio" lockText="1" noThreeD="1"/>
</file>

<file path=xl/ctrlProps/ctrlProp404.xml><?xml version="1.0" encoding="utf-8"?>
<formControlPr xmlns="http://schemas.microsoft.com/office/spreadsheetml/2009/9/main" objectType="Radio" lockText="1" noThreeD="1"/>
</file>

<file path=xl/ctrlProps/ctrlProp405.xml><?xml version="1.0" encoding="utf-8"?>
<formControlPr xmlns="http://schemas.microsoft.com/office/spreadsheetml/2009/9/main" objectType="Radio" lockText="1" noThreeD="1"/>
</file>

<file path=xl/ctrlProps/ctrlProp406.xml><?xml version="1.0" encoding="utf-8"?>
<formControlPr xmlns="http://schemas.microsoft.com/office/spreadsheetml/2009/9/main" objectType="Radio" lockText="1" noThreeD="1"/>
</file>

<file path=xl/ctrlProps/ctrlProp407.xml><?xml version="1.0" encoding="utf-8"?>
<formControlPr xmlns="http://schemas.microsoft.com/office/spreadsheetml/2009/9/main" objectType="Radio" checked="Checked" firstButton="1" fmlaLink="Weights_Swing!$F$127" lockText="1" noThreeD="1"/>
</file>

<file path=xl/ctrlProps/ctrlProp408.xml><?xml version="1.0" encoding="utf-8"?>
<formControlPr xmlns="http://schemas.microsoft.com/office/spreadsheetml/2009/9/main" objectType="Radio" lockText="1" noThreeD="1"/>
</file>

<file path=xl/ctrlProps/ctrlProp409.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Radio" lockText="1" noThreeD="1"/>
</file>

<file path=xl/ctrlProps/ctrlProp412.xml><?xml version="1.0" encoding="utf-8"?>
<formControlPr xmlns="http://schemas.microsoft.com/office/spreadsheetml/2009/9/main" objectType="Radio" lockText="1" noThreeD="1"/>
</file>

<file path=xl/ctrlProps/ctrlProp413.xml><?xml version="1.0" encoding="utf-8"?>
<formControlPr xmlns="http://schemas.microsoft.com/office/spreadsheetml/2009/9/main" objectType="Radio"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Radio" lockText="1" noThreeD="1"/>
</file>

<file path=xl/ctrlProps/ctrlProp416.xml><?xml version="1.0" encoding="utf-8"?>
<formControlPr xmlns="http://schemas.microsoft.com/office/spreadsheetml/2009/9/main" objectType="Radio" lockText="1" noThreeD="1"/>
</file>

<file path=xl/ctrlProps/ctrlProp417.xml><?xml version="1.0" encoding="utf-8"?>
<formControlPr xmlns="http://schemas.microsoft.com/office/spreadsheetml/2009/9/main" objectType="Radio" lockText="1" noThreeD="1"/>
</file>

<file path=xl/ctrlProps/ctrlProp418.xml><?xml version="1.0" encoding="utf-8"?>
<formControlPr xmlns="http://schemas.microsoft.com/office/spreadsheetml/2009/9/main" objectType="Radio" lockText="1" noThreeD="1"/>
</file>

<file path=xl/ctrlProps/ctrlProp419.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firstButton="1" fmlaLink="Weights!$F$79" lockText="1" noThreeD="1"/>
</file>

<file path=xl/ctrlProps/ctrlProp420.xml><?xml version="1.0" encoding="utf-8"?>
<formControlPr xmlns="http://schemas.microsoft.com/office/spreadsheetml/2009/9/main" objectType="Radio" lockText="1" noThreeD="1"/>
</file>

<file path=xl/ctrlProps/ctrlProp421.xml><?xml version="1.0" encoding="utf-8"?>
<formControlPr xmlns="http://schemas.microsoft.com/office/spreadsheetml/2009/9/main" objectType="Radio" lockText="1" noThreeD="1"/>
</file>

<file path=xl/ctrlProps/ctrlProp422.xml><?xml version="1.0" encoding="utf-8"?>
<formControlPr xmlns="http://schemas.microsoft.com/office/spreadsheetml/2009/9/main" objectType="Radio" lockText="1" noThreeD="1"/>
</file>

<file path=xl/ctrlProps/ctrlProp423.xml><?xml version="1.0" encoding="utf-8"?>
<formControlPr xmlns="http://schemas.microsoft.com/office/spreadsheetml/2009/9/main" objectType="Radio" lockText="1"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Radio" lockText="1" noThreeD="1"/>
</file>

<file path=xl/ctrlProps/ctrlProp429.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Radio" lockText="1" noThreeD="1"/>
</file>

<file path=xl/ctrlProps/ctrlProp431.xml><?xml version="1.0" encoding="utf-8"?>
<formControlPr xmlns="http://schemas.microsoft.com/office/spreadsheetml/2009/9/main" objectType="Radio" lockText="1" noThreeD="1"/>
</file>

<file path=xl/ctrlProps/ctrlProp432.xml><?xml version="1.0" encoding="utf-8"?>
<formControlPr xmlns="http://schemas.microsoft.com/office/spreadsheetml/2009/9/main" objectType="Radio"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lockText="1" noThreeD="1"/>
</file>

<file path=xl/ctrlProps/ctrlProp438.xml><?xml version="1.0" encoding="utf-8"?>
<formControlPr xmlns="http://schemas.microsoft.com/office/spreadsheetml/2009/9/main" objectType="Radio"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Radio" lockText="1" noThreeD="1"/>
</file>

<file path=xl/ctrlProps/ctrlProp443.xml><?xml version="1.0" encoding="utf-8"?>
<formControlPr xmlns="http://schemas.microsoft.com/office/spreadsheetml/2009/9/main" objectType="Radio" lockText="1" noThreeD="1"/>
</file>

<file path=xl/ctrlProps/ctrlProp444.xml><?xml version="1.0" encoding="utf-8"?>
<formControlPr xmlns="http://schemas.microsoft.com/office/spreadsheetml/2009/9/main" objectType="Radio" lockText="1" noThreeD="1"/>
</file>

<file path=xl/ctrlProps/ctrlProp445.xml><?xml version="1.0" encoding="utf-8"?>
<formControlPr xmlns="http://schemas.microsoft.com/office/spreadsheetml/2009/9/main" objectType="Radio" lockText="1" noThreeD="1"/>
</file>

<file path=xl/ctrlProps/ctrlProp446.xml><?xml version="1.0" encoding="utf-8"?>
<formControlPr xmlns="http://schemas.microsoft.com/office/spreadsheetml/2009/9/main" objectType="Radio" lockText="1" noThreeD="1"/>
</file>

<file path=xl/ctrlProps/ctrlProp447.xml><?xml version="1.0" encoding="utf-8"?>
<formControlPr xmlns="http://schemas.microsoft.com/office/spreadsheetml/2009/9/main" objectType="Radio"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checked="Checked" lockText="1" noThreeD="1"/>
</file>

<file path=xl/ctrlProps/ctrlProp450.xml><?xml version="1.0" encoding="utf-8"?>
<formControlPr xmlns="http://schemas.microsoft.com/office/spreadsheetml/2009/9/main" objectType="Radio" lockText="1" noThreeD="1"/>
</file>

<file path=xl/ctrlProps/ctrlProp451.xml><?xml version="1.0" encoding="utf-8"?>
<formControlPr xmlns="http://schemas.microsoft.com/office/spreadsheetml/2009/9/main" objectType="CheckBox" fmlaLink="Weights_Swing!$F$148" lockText="1" noThreeD="1"/>
</file>

<file path=xl/ctrlProps/ctrlProp452.xml><?xml version="1.0" encoding="utf-8"?>
<formControlPr xmlns="http://schemas.microsoft.com/office/spreadsheetml/2009/9/main" objectType="Radio" firstButton="1" fmlaLink="Weights_Swing!$F$2" lockText="1" noThreeD="1"/>
</file>

<file path=xl/ctrlProps/ctrlProp453.xml><?xml version="1.0" encoding="utf-8"?>
<formControlPr xmlns="http://schemas.microsoft.com/office/spreadsheetml/2009/9/main" objectType="Radio" lockText="1" noThreeD="1"/>
</file>

<file path=xl/ctrlProps/ctrlProp454.xml><?xml version="1.0" encoding="utf-8"?>
<formControlPr xmlns="http://schemas.microsoft.com/office/spreadsheetml/2009/9/main" objectType="Radio" lockText="1" noThreeD="1"/>
</file>

<file path=xl/ctrlProps/ctrlProp455.xml><?xml version="1.0" encoding="utf-8"?>
<formControlPr xmlns="http://schemas.microsoft.com/office/spreadsheetml/2009/9/main" objectType="Radio" lockText="1" noThreeD="1"/>
</file>

<file path=xl/ctrlProps/ctrlProp456.xml><?xml version="1.0" encoding="utf-8"?>
<formControlPr xmlns="http://schemas.microsoft.com/office/spreadsheetml/2009/9/main" objectType="Radio" lockText="1" noThreeD="1"/>
</file>

<file path=xl/ctrlProps/ctrlProp457.xml><?xml version="1.0" encoding="utf-8"?>
<formControlPr xmlns="http://schemas.microsoft.com/office/spreadsheetml/2009/9/main" objectType="Radio" lockText="1" noThreeD="1"/>
</file>

<file path=xl/ctrlProps/ctrlProp458.xml><?xml version="1.0" encoding="utf-8"?>
<formControlPr xmlns="http://schemas.microsoft.com/office/spreadsheetml/2009/9/main" objectType="Radio" lockText="1" noThreeD="1"/>
</file>

<file path=xl/ctrlProps/ctrlProp459.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Radio" lockText="1" noThreeD="1"/>
</file>

<file path=xl/ctrlProps/ctrlProp462.xml><?xml version="1.0" encoding="utf-8"?>
<formControlPr xmlns="http://schemas.microsoft.com/office/spreadsheetml/2009/9/main" objectType="Radio" lockText="1" noThreeD="1"/>
</file>

<file path=xl/ctrlProps/ctrlProp463.xml><?xml version="1.0" encoding="utf-8"?>
<formControlPr xmlns="http://schemas.microsoft.com/office/spreadsheetml/2009/9/main" objectType="Radio" checked="Checked" lockText="1" noThreeD="1"/>
</file>

<file path=xl/ctrlProps/ctrlProp464.xml><?xml version="1.0" encoding="utf-8"?>
<formControlPr xmlns="http://schemas.microsoft.com/office/spreadsheetml/2009/9/main" objectType="GBox"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Radio" firstButton="1" fmlaLink="Weights_Swing!$F$57" lockText="1" noThreeD="1"/>
</file>

<file path=xl/ctrlProps/ctrlProp467.xml><?xml version="1.0" encoding="utf-8"?>
<formControlPr xmlns="http://schemas.microsoft.com/office/spreadsheetml/2009/9/main" objectType="Radio" lockText="1" noThreeD="1"/>
</file>

<file path=xl/ctrlProps/ctrlProp468.xml><?xml version="1.0" encoding="utf-8"?>
<formControlPr xmlns="http://schemas.microsoft.com/office/spreadsheetml/2009/9/main" objectType="Radio" lockText="1" noThreeD="1"/>
</file>

<file path=xl/ctrlProps/ctrlProp469.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firstButton="1" fmlaLink="Weights!$F$112" lockText="1" noThreeD="1"/>
</file>

<file path=xl/ctrlProps/ctrlProp470.xml><?xml version="1.0" encoding="utf-8"?>
<formControlPr xmlns="http://schemas.microsoft.com/office/spreadsheetml/2009/9/main" objectType="CheckBox" fmlaLink="Weights_Swing!$F$131" lockText="1" noThreeD="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Radio" firstButton="1" fmlaLink="Weights_Swing!$F$137" lockText="1" noThreeD="1"/>
</file>

<file path=xl/ctrlProps/ctrlProp474.xml><?xml version="1.0" encoding="utf-8"?>
<formControlPr xmlns="http://schemas.microsoft.com/office/spreadsheetml/2009/9/main" objectType="Radio" lockText="1" noThreeD="1"/>
</file>

<file path=xl/ctrlProps/ctrlProp475.xml><?xml version="1.0" encoding="utf-8"?>
<formControlPr xmlns="http://schemas.microsoft.com/office/spreadsheetml/2009/9/main" objectType="Radio"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checked="Checked"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CheckBox" fmlaLink="Weights_Swing!$F$143" lockText="1" noThreeD="1"/>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CheckBox" fmlaLink="Weights_Swing!$F$99" lockText="1"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Radio" lockText="1" noThreeD="1"/>
</file>

<file path=xl/ctrlProps/ctrlProp484.xml><?xml version="1.0" encoding="utf-8"?>
<formControlPr xmlns="http://schemas.microsoft.com/office/spreadsheetml/2009/9/main" objectType="Radio" firstButton="1" fmlaLink="Weights_Swing!$F$26" lockText="1" noThreeD="1"/>
</file>

<file path=xl/ctrlProps/ctrlProp485.xml><?xml version="1.0" encoding="utf-8"?>
<formControlPr xmlns="http://schemas.microsoft.com/office/spreadsheetml/2009/9/main" objectType="Radio" lockText="1" noThreeD="1"/>
</file>

<file path=xl/ctrlProps/ctrlProp486.xml><?xml version="1.0" encoding="utf-8"?>
<formControlPr xmlns="http://schemas.microsoft.com/office/spreadsheetml/2009/9/main" objectType="Radio" lockText="1" noThreeD="1"/>
</file>

<file path=xl/ctrlProps/ctrlProp487.xml><?xml version="1.0" encoding="utf-8"?>
<formControlPr xmlns="http://schemas.microsoft.com/office/spreadsheetml/2009/9/main" objectType="Radio" lockText="1" noThreeD="1"/>
</file>

<file path=xl/ctrlProps/ctrlProp488.xml><?xml version="1.0" encoding="utf-8"?>
<formControlPr xmlns="http://schemas.microsoft.com/office/spreadsheetml/2009/9/main" objectType="CheckBox" fmlaLink="E213" lockText="1" noThreeD="1"/>
</file>

<file path=xl/ctrlProps/ctrlProp489.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Radio" lockText="1" noThreeD="1"/>
</file>

<file path=xl/ctrlProps/ctrlProp491.xml><?xml version="1.0" encoding="utf-8"?>
<formControlPr xmlns="http://schemas.microsoft.com/office/spreadsheetml/2009/9/main" objectType="Radio" checked="Checked" lockText="1" noThreeD="1"/>
</file>

<file path=xl/ctrlProps/ctrlProp492.xml><?xml version="1.0" encoding="utf-8"?>
<formControlPr xmlns="http://schemas.microsoft.com/office/spreadsheetml/2009/9/main" objectType="Radio" checked="Checked" lockText="1" noThreeD="1"/>
</file>

<file path=xl/ctrlProps/ctrlProp493.xml><?xml version="1.0" encoding="utf-8"?>
<formControlPr xmlns="http://schemas.microsoft.com/office/spreadsheetml/2009/9/main" objectType="Radio" lockText="1" noThreeD="1"/>
</file>

<file path=xl/ctrlProps/ctrlProp494.xml><?xml version="1.0" encoding="utf-8"?>
<formControlPr xmlns="http://schemas.microsoft.com/office/spreadsheetml/2009/9/main" objectType="Radio" checked="Checked" lockText="1" noThreeD="1"/>
</file>

<file path=xl/ctrlProps/ctrlProp495.xml><?xml version="1.0" encoding="utf-8"?>
<formControlPr xmlns="http://schemas.microsoft.com/office/spreadsheetml/2009/9/main" objectType="Radio" checked="Checked"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Radio" checked="Checked" lockText="1" noThreeD="1"/>
</file>

<file path=xl/ctrlProps/ctrlProp498.xml><?xml version="1.0" encoding="utf-8"?>
<formControlPr xmlns="http://schemas.microsoft.com/office/spreadsheetml/2009/9/main" objectType="Radio" lockText="1" noThreeD="1"/>
</file>

<file path=xl/ctrlProps/ctrlProp499.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checked="Checked" lockText="1" noThreeD="1"/>
</file>

<file path=xl/ctrlProps/ctrlProp500.xml><?xml version="1.0" encoding="utf-8"?>
<formControlPr xmlns="http://schemas.microsoft.com/office/spreadsheetml/2009/9/main" objectType="Radio" checked="Checked" lockText="1" noThreeD="1"/>
</file>

<file path=xl/ctrlProps/ctrlProp501.xml><?xml version="1.0" encoding="utf-8"?>
<formControlPr xmlns="http://schemas.microsoft.com/office/spreadsheetml/2009/9/main" objectType="Radio" lockText="1" noThreeD="1"/>
</file>

<file path=xl/ctrlProps/ctrlProp502.xml><?xml version="1.0" encoding="utf-8"?>
<formControlPr xmlns="http://schemas.microsoft.com/office/spreadsheetml/2009/9/main" objectType="Radio" checked="Checked" lockText="1" noThreeD="1"/>
</file>

<file path=xl/ctrlProps/ctrlProp503.xml><?xml version="1.0" encoding="utf-8"?>
<formControlPr xmlns="http://schemas.microsoft.com/office/spreadsheetml/2009/9/main" objectType="Radio" checked="Checked" lockText="1" noThreeD="1"/>
</file>

<file path=xl/ctrlProps/ctrlProp504.xml><?xml version="1.0" encoding="utf-8"?>
<formControlPr xmlns="http://schemas.microsoft.com/office/spreadsheetml/2009/9/main" objectType="Radio" lockText="1" noThreeD="1"/>
</file>

<file path=xl/ctrlProps/ctrlProp505.xml><?xml version="1.0" encoding="utf-8"?>
<formControlPr xmlns="http://schemas.microsoft.com/office/spreadsheetml/2009/9/main" objectType="Radio" checked="Checked" lockText="1" noThreeD="1"/>
</file>

<file path=xl/ctrlProps/ctrlProp506.xml><?xml version="1.0" encoding="utf-8"?>
<formControlPr xmlns="http://schemas.microsoft.com/office/spreadsheetml/2009/9/main" objectType="Radio" lockText="1" noThreeD="1"/>
</file>

<file path=xl/ctrlProps/ctrlProp507.xml><?xml version="1.0" encoding="utf-8"?>
<formControlPr xmlns="http://schemas.microsoft.com/office/spreadsheetml/2009/9/main" objectType="Radio" checked="Checked" lockText="1" noThreeD="1"/>
</file>

<file path=xl/ctrlProps/ctrlProp508.xml><?xml version="1.0" encoding="utf-8"?>
<formControlPr xmlns="http://schemas.microsoft.com/office/spreadsheetml/2009/9/main" objectType="Radio" lockText="1" noThreeD="1"/>
</file>

<file path=xl/ctrlProps/ctrlProp509.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Radio" checked="Checked" lockText="1" noThreeD="1"/>
</file>

<file path=xl/ctrlProps/ctrlProp511.xml><?xml version="1.0" encoding="utf-8"?>
<formControlPr xmlns="http://schemas.microsoft.com/office/spreadsheetml/2009/9/main" objectType="CheckBox" fmlaLink="Weights_Swing!$F$144" lockText="1" noThreeD="1"/>
</file>

<file path=xl/ctrlProps/ctrlProp512.xml><?xml version="1.0" encoding="utf-8"?>
<formControlPr xmlns="http://schemas.microsoft.com/office/spreadsheetml/2009/9/main" objectType="CheckBox" fmlaLink="Weights_Swing!$F$145" lockText="1" noThreeD="1"/>
</file>

<file path=xl/ctrlProps/ctrlProp513.xml><?xml version="1.0" encoding="utf-8"?>
<formControlPr xmlns="http://schemas.microsoft.com/office/spreadsheetml/2009/9/main" objectType="CheckBox" fmlaLink="Weights_Swing!$F$146" lockText="1" noThreeD="1"/>
</file>

<file path=xl/ctrlProps/ctrlProp514.xml><?xml version="1.0" encoding="utf-8"?>
<formControlPr xmlns="http://schemas.microsoft.com/office/spreadsheetml/2009/9/main" objectType="CheckBox" fmlaLink="Weights_Swing!$F$147" lockText="1" noThreeD="1"/>
</file>

<file path=xl/ctrlProps/ctrlProp515.xml><?xml version="1.0" encoding="utf-8"?>
<formControlPr xmlns="http://schemas.microsoft.com/office/spreadsheetml/2009/9/main" objectType="Radio" lockText="1" noThreeD="1"/>
</file>

<file path=xl/ctrlProps/ctrlProp516.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firstButton="1" fmlaLink="Weights!$F$118"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checked="Checked"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CheckBox" fmlaLink="Weights!$F$125" lockText="1"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Radio" firstButton="1" fmlaLink="Weights!$F$135" lockText="1" noThreeD="1"/>
</file>

<file path=xl/ctrlProps/ctrlProp63.xml><?xml version="1.0" encoding="utf-8"?>
<formControlPr xmlns="http://schemas.microsoft.com/office/spreadsheetml/2009/9/main" objectType="Radio" checked="Checked" lockText="1" noThreeD="1"/>
</file>

<file path=xl/ctrlProps/ctrlProp64.xml><?xml version="1.0" encoding="utf-8"?>
<formControlPr xmlns="http://schemas.microsoft.com/office/spreadsheetml/2009/9/main" objectType="CheckBox" fmlaLink="Weights!$F$146" lockText="1" noThreeD="1"/>
</file>

<file path=xl/ctrlProps/ctrlProp65.xml><?xml version="1.0" encoding="utf-8"?>
<formControlPr xmlns="http://schemas.microsoft.com/office/spreadsheetml/2009/9/main" objectType="CheckBox" fmlaLink="Weights!$F$147" lockText="1"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Radio" firstButton="1" fmlaLink="Weights!$F$104"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CheckBox" fmlaLink="Weights!$F$148" lockText="1" noThreeD="1"/>
</file>

<file path=xl/ctrlProps/ctrlProp73.xml><?xml version="1.0" encoding="utf-8"?>
<formControlPr xmlns="http://schemas.microsoft.com/office/spreadsheetml/2009/9/main" objectType="CheckBox" fmlaLink="Weights!$F$149"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firstButton="1" fmlaLink="Weights!$F$57"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firstButton="1" fmlaLink="Weights!$F$127"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Radio" checked="Checked"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U3 models'!A1"/><Relationship Id="rId7" Type="http://schemas.openxmlformats.org/officeDocument/2006/relationships/hyperlink" Target="https://www.panthera.se" TargetMode="External"/><Relationship Id="rId2" Type="http://schemas.openxmlformats.org/officeDocument/2006/relationships/image" Target="../media/image1.jpg"/><Relationship Id="rId1" Type="http://schemas.openxmlformats.org/officeDocument/2006/relationships/hyperlink" Target="#'S3 models'!A1"/><Relationship Id="rId6" Type="http://schemas.openxmlformats.org/officeDocument/2006/relationships/image" Target="../media/image3.jpg"/><Relationship Id="rId5" Type="http://schemas.openxmlformats.org/officeDocument/2006/relationships/hyperlink" Target="#'S3 Swing models'!A1"/><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13" Type="http://schemas.openxmlformats.org/officeDocument/2006/relationships/image" Target="../media/image17.jpg"/><Relationship Id="rId18" Type="http://schemas.openxmlformats.org/officeDocument/2006/relationships/image" Target="../media/image22.jpg"/><Relationship Id="rId26" Type="http://schemas.openxmlformats.org/officeDocument/2006/relationships/image" Target="../media/image28.jpg"/><Relationship Id="rId39" Type="http://schemas.openxmlformats.org/officeDocument/2006/relationships/image" Target="../media/image41.jpg"/><Relationship Id="rId21" Type="http://schemas.openxmlformats.org/officeDocument/2006/relationships/image" Target="../media/image23.jpg"/><Relationship Id="rId34" Type="http://schemas.openxmlformats.org/officeDocument/2006/relationships/image" Target="../media/image36.jpg"/><Relationship Id="rId7" Type="http://schemas.openxmlformats.org/officeDocument/2006/relationships/image" Target="../media/image11.jpg"/><Relationship Id="rId2" Type="http://schemas.openxmlformats.org/officeDocument/2006/relationships/image" Target="../media/image6.jpg"/><Relationship Id="rId16" Type="http://schemas.openxmlformats.org/officeDocument/2006/relationships/image" Target="../media/image20.jpg"/><Relationship Id="rId20" Type="http://schemas.openxmlformats.org/officeDocument/2006/relationships/image" Target="../media/image4.png"/><Relationship Id="rId29" Type="http://schemas.openxmlformats.org/officeDocument/2006/relationships/image" Target="../media/image31.jpg"/><Relationship Id="rId41" Type="http://schemas.openxmlformats.org/officeDocument/2006/relationships/image" Target="../media/image43.jpg"/><Relationship Id="rId1" Type="http://schemas.openxmlformats.org/officeDocument/2006/relationships/image" Target="../media/image5.jpg"/><Relationship Id="rId6" Type="http://schemas.openxmlformats.org/officeDocument/2006/relationships/image" Target="../media/image10.jpg"/><Relationship Id="rId11" Type="http://schemas.openxmlformats.org/officeDocument/2006/relationships/image" Target="../media/image15.jpg"/><Relationship Id="rId24" Type="http://schemas.openxmlformats.org/officeDocument/2006/relationships/image" Target="../media/image26.jpg"/><Relationship Id="rId32" Type="http://schemas.openxmlformats.org/officeDocument/2006/relationships/image" Target="../media/image34.jpg"/><Relationship Id="rId37" Type="http://schemas.openxmlformats.org/officeDocument/2006/relationships/image" Target="../media/image39.jpg"/><Relationship Id="rId40" Type="http://schemas.openxmlformats.org/officeDocument/2006/relationships/image" Target="../media/image42.gif"/><Relationship Id="rId5" Type="http://schemas.openxmlformats.org/officeDocument/2006/relationships/image" Target="../media/image9.jpg"/><Relationship Id="rId15" Type="http://schemas.openxmlformats.org/officeDocument/2006/relationships/image" Target="../media/image19.jpg"/><Relationship Id="rId23" Type="http://schemas.openxmlformats.org/officeDocument/2006/relationships/image" Target="../media/image25.jpg"/><Relationship Id="rId28" Type="http://schemas.openxmlformats.org/officeDocument/2006/relationships/image" Target="../media/image30.jpg"/><Relationship Id="rId36" Type="http://schemas.openxmlformats.org/officeDocument/2006/relationships/image" Target="../media/image38.jpg"/><Relationship Id="rId10" Type="http://schemas.openxmlformats.org/officeDocument/2006/relationships/image" Target="../media/image14.jpg"/><Relationship Id="rId19" Type="http://schemas.openxmlformats.org/officeDocument/2006/relationships/hyperlink" Target="https://www.panthera.se" TargetMode="External"/><Relationship Id="rId31" Type="http://schemas.openxmlformats.org/officeDocument/2006/relationships/image" Target="../media/image33.jpg"/><Relationship Id="rId4" Type="http://schemas.openxmlformats.org/officeDocument/2006/relationships/image" Target="../media/image8.gif"/><Relationship Id="rId9" Type="http://schemas.openxmlformats.org/officeDocument/2006/relationships/image" Target="../media/image13.jpg"/><Relationship Id="rId14" Type="http://schemas.openxmlformats.org/officeDocument/2006/relationships/image" Target="../media/image18.jpg"/><Relationship Id="rId22" Type="http://schemas.openxmlformats.org/officeDocument/2006/relationships/image" Target="../media/image24.jpg"/><Relationship Id="rId27" Type="http://schemas.openxmlformats.org/officeDocument/2006/relationships/image" Target="../media/image29.jpg"/><Relationship Id="rId30" Type="http://schemas.openxmlformats.org/officeDocument/2006/relationships/image" Target="../media/image32.jpg"/><Relationship Id="rId35" Type="http://schemas.openxmlformats.org/officeDocument/2006/relationships/image" Target="../media/image37.jpg"/><Relationship Id="rId8" Type="http://schemas.openxmlformats.org/officeDocument/2006/relationships/image" Target="../media/image12.jpg"/><Relationship Id="rId3" Type="http://schemas.openxmlformats.org/officeDocument/2006/relationships/image" Target="../media/image7.jpg"/><Relationship Id="rId12" Type="http://schemas.openxmlformats.org/officeDocument/2006/relationships/image" Target="../media/image16.jpg"/><Relationship Id="rId17" Type="http://schemas.openxmlformats.org/officeDocument/2006/relationships/image" Target="../media/image21.jpg"/><Relationship Id="rId25" Type="http://schemas.openxmlformats.org/officeDocument/2006/relationships/image" Target="../media/image27.jpg"/><Relationship Id="rId33" Type="http://schemas.openxmlformats.org/officeDocument/2006/relationships/image" Target="../media/image35.jpg"/><Relationship Id="rId38" Type="http://schemas.openxmlformats.org/officeDocument/2006/relationships/image" Target="../media/image40.jpg"/></Relationships>
</file>

<file path=xl/drawings/_rels/drawing3.xml.rels><?xml version="1.0" encoding="UTF-8" standalone="yes"?>
<Relationships xmlns="http://schemas.openxmlformats.org/package/2006/relationships"><Relationship Id="rId13" Type="http://schemas.openxmlformats.org/officeDocument/2006/relationships/image" Target="../media/image33.jpg"/><Relationship Id="rId18" Type="http://schemas.openxmlformats.org/officeDocument/2006/relationships/image" Target="../media/image31.jpg"/><Relationship Id="rId26" Type="http://schemas.openxmlformats.org/officeDocument/2006/relationships/image" Target="../media/image18.jpg"/><Relationship Id="rId39" Type="http://schemas.openxmlformats.org/officeDocument/2006/relationships/image" Target="../media/image27.jpg"/><Relationship Id="rId21" Type="http://schemas.openxmlformats.org/officeDocument/2006/relationships/image" Target="../media/image29.jpg"/><Relationship Id="rId34" Type="http://schemas.openxmlformats.org/officeDocument/2006/relationships/image" Target="../media/image23.jpg"/><Relationship Id="rId7" Type="http://schemas.openxmlformats.org/officeDocument/2006/relationships/image" Target="../media/image6.jpg"/><Relationship Id="rId12" Type="http://schemas.openxmlformats.org/officeDocument/2006/relationships/image" Target="../media/image32.jpg"/><Relationship Id="rId17" Type="http://schemas.openxmlformats.org/officeDocument/2006/relationships/image" Target="../media/image30.jpg"/><Relationship Id="rId25" Type="http://schemas.openxmlformats.org/officeDocument/2006/relationships/image" Target="../media/image17.jpg"/><Relationship Id="rId33" Type="http://schemas.openxmlformats.org/officeDocument/2006/relationships/image" Target="../media/image21.jpg"/><Relationship Id="rId38" Type="http://schemas.openxmlformats.org/officeDocument/2006/relationships/image" Target="../media/image12.jpg"/><Relationship Id="rId2" Type="http://schemas.openxmlformats.org/officeDocument/2006/relationships/image" Target="../media/image39.jpg"/><Relationship Id="rId16" Type="http://schemas.openxmlformats.org/officeDocument/2006/relationships/image" Target="../media/image9.jpg"/><Relationship Id="rId20" Type="http://schemas.openxmlformats.org/officeDocument/2006/relationships/image" Target="../media/image28.jpg"/><Relationship Id="rId29" Type="http://schemas.openxmlformats.org/officeDocument/2006/relationships/image" Target="../media/image14.jpg"/><Relationship Id="rId1" Type="http://schemas.openxmlformats.org/officeDocument/2006/relationships/image" Target="../media/image38.jpg"/><Relationship Id="rId6" Type="http://schemas.openxmlformats.org/officeDocument/2006/relationships/image" Target="../media/image5.jpg"/><Relationship Id="rId11" Type="http://schemas.openxmlformats.org/officeDocument/2006/relationships/image" Target="../media/image37.jpg"/><Relationship Id="rId24" Type="http://schemas.openxmlformats.org/officeDocument/2006/relationships/image" Target="../media/image16.jpg"/><Relationship Id="rId32" Type="http://schemas.openxmlformats.org/officeDocument/2006/relationships/image" Target="../media/image4.png"/><Relationship Id="rId37" Type="http://schemas.openxmlformats.org/officeDocument/2006/relationships/image" Target="../media/image20.jpg"/><Relationship Id="rId40" Type="http://schemas.openxmlformats.org/officeDocument/2006/relationships/image" Target="../media/image43.jpg"/><Relationship Id="rId5" Type="http://schemas.openxmlformats.org/officeDocument/2006/relationships/image" Target="../media/image42.gif"/><Relationship Id="rId15" Type="http://schemas.openxmlformats.org/officeDocument/2006/relationships/image" Target="../media/image35.jpg"/><Relationship Id="rId23" Type="http://schemas.openxmlformats.org/officeDocument/2006/relationships/image" Target="../media/image15.jpg"/><Relationship Id="rId28" Type="http://schemas.openxmlformats.org/officeDocument/2006/relationships/image" Target="../media/image13.jpg"/><Relationship Id="rId36" Type="http://schemas.openxmlformats.org/officeDocument/2006/relationships/image" Target="../media/image25.jpg"/><Relationship Id="rId10" Type="http://schemas.openxmlformats.org/officeDocument/2006/relationships/image" Target="../media/image36.jpg"/><Relationship Id="rId19" Type="http://schemas.openxmlformats.org/officeDocument/2006/relationships/image" Target="../media/image10.jpg"/><Relationship Id="rId31" Type="http://schemas.openxmlformats.org/officeDocument/2006/relationships/hyperlink" Target="https://www.panthera.se" TargetMode="External"/><Relationship Id="rId4" Type="http://schemas.openxmlformats.org/officeDocument/2006/relationships/image" Target="../media/image41.jpg"/><Relationship Id="rId9" Type="http://schemas.openxmlformats.org/officeDocument/2006/relationships/image" Target="../media/image8.gif"/><Relationship Id="rId14" Type="http://schemas.openxmlformats.org/officeDocument/2006/relationships/image" Target="../media/image34.jpg"/><Relationship Id="rId22" Type="http://schemas.openxmlformats.org/officeDocument/2006/relationships/image" Target="../media/image11.jpg"/><Relationship Id="rId27" Type="http://schemas.openxmlformats.org/officeDocument/2006/relationships/image" Target="../media/image19.jpg"/><Relationship Id="rId30" Type="http://schemas.openxmlformats.org/officeDocument/2006/relationships/image" Target="../media/image44.jpg"/><Relationship Id="rId35" Type="http://schemas.openxmlformats.org/officeDocument/2006/relationships/image" Target="../media/image24.jpg"/><Relationship Id="rId8" Type="http://schemas.openxmlformats.org/officeDocument/2006/relationships/image" Target="../media/image7.jpg"/><Relationship Id="rId3" Type="http://schemas.openxmlformats.org/officeDocument/2006/relationships/image" Target="../media/image40.jpg"/></Relationships>
</file>

<file path=xl/drawings/_rels/drawing4.xml.rels><?xml version="1.0" encoding="UTF-8" standalone="yes"?>
<Relationships xmlns="http://schemas.openxmlformats.org/package/2006/relationships"><Relationship Id="rId13" Type="http://schemas.openxmlformats.org/officeDocument/2006/relationships/image" Target="../media/image31.jpg"/><Relationship Id="rId18" Type="http://schemas.openxmlformats.org/officeDocument/2006/relationships/image" Target="../media/image26.jpg"/><Relationship Id="rId26" Type="http://schemas.openxmlformats.org/officeDocument/2006/relationships/hyperlink" Target="https://www.panthera.se" TargetMode="External"/><Relationship Id="rId21" Type="http://schemas.openxmlformats.org/officeDocument/2006/relationships/image" Target="../media/image20.jpg"/><Relationship Id="rId34" Type="http://schemas.openxmlformats.org/officeDocument/2006/relationships/image" Target="../media/image43.jpg"/><Relationship Id="rId7" Type="http://schemas.openxmlformats.org/officeDocument/2006/relationships/image" Target="../media/image32.jpg"/><Relationship Id="rId12" Type="http://schemas.openxmlformats.org/officeDocument/2006/relationships/image" Target="../media/image30.jpg"/><Relationship Id="rId17" Type="http://schemas.openxmlformats.org/officeDocument/2006/relationships/image" Target="../media/image11.jpg"/><Relationship Id="rId25" Type="http://schemas.openxmlformats.org/officeDocument/2006/relationships/image" Target="../media/image25.jpg"/><Relationship Id="rId33" Type="http://schemas.openxmlformats.org/officeDocument/2006/relationships/image" Target="../media/image27.jpg"/><Relationship Id="rId38" Type="http://schemas.openxmlformats.org/officeDocument/2006/relationships/image" Target="../media/image42.gif"/><Relationship Id="rId2" Type="http://schemas.openxmlformats.org/officeDocument/2006/relationships/image" Target="../media/image6.jpg"/><Relationship Id="rId16" Type="http://schemas.openxmlformats.org/officeDocument/2006/relationships/image" Target="../media/image29.jpg"/><Relationship Id="rId20" Type="http://schemas.openxmlformats.org/officeDocument/2006/relationships/image" Target="../media/image19.jpg"/><Relationship Id="rId29" Type="http://schemas.openxmlformats.org/officeDocument/2006/relationships/image" Target="../media/image21.jpg"/><Relationship Id="rId1" Type="http://schemas.openxmlformats.org/officeDocument/2006/relationships/image" Target="../media/image5.jpg"/><Relationship Id="rId6" Type="http://schemas.openxmlformats.org/officeDocument/2006/relationships/image" Target="../media/image37.jpg"/><Relationship Id="rId11" Type="http://schemas.openxmlformats.org/officeDocument/2006/relationships/image" Target="../media/image9.jpg"/><Relationship Id="rId24" Type="http://schemas.openxmlformats.org/officeDocument/2006/relationships/image" Target="../media/image24.jpg"/><Relationship Id="rId32" Type="http://schemas.openxmlformats.org/officeDocument/2006/relationships/image" Target="../media/image12.jpg"/><Relationship Id="rId37" Type="http://schemas.openxmlformats.org/officeDocument/2006/relationships/image" Target="../media/image41.jpg"/><Relationship Id="rId5" Type="http://schemas.openxmlformats.org/officeDocument/2006/relationships/image" Target="../media/image36.jpg"/><Relationship Id="rId15" Type="http://schemas.openxmlformats.org/officeDocument/2006/relationships/image" Target="../media/image28.jpg"/><Relationship Id="rId23" Type="http://schemas.openxmlformats.org/officeDocument/2006/relationships/image" Target="../media/image14.jpg"/><Relationship Id="rId28" Type="http://schemas.openxmlformats.org/officeDocument/2006/relationships/image" Target="../media/image45.jpg"/><Relationship Id="rId36" Type="http://schemas.openxmlformats.org/officeDocument/2006/relationships/image" Target="../media/image39.jpg"/><Relationship Id="rId10" Type="http://schemas.openxmlformats.org/officeDocument/2006/relationships/image" Target="../media/image35.jpg"/><Relationship Id="rId19" Type="http://schemas.openxmlformats.org/officeDocument/2006/relationships/image" Target="../media/image18.jpg"/><Relationship Id="rId31" Type="http://schemas.openxmlformats.org/officeDocument/2006/relationships/image" Target="../media/image16.jpg"/><Relationship Id="rId4" Type="http://schemas.openxmlformats.org/officeDocument/2006/relationships/image" Target="../media/image8.gif"/><Relationship Id="rId9" Type="http://schemas.openxmlformats.org/officeDocument/2006/relationships/image" Target="../media/image34.jpg"/><Relationship Id="rId14" Type="http://schemas.openxmlformats.org/officeDocument/2006/relationships/image" Target="../media/image10.jpg"/><Relationship Id="rId22" Type="http://schemas.openxmlformats.org/officeDocument/2006/relationships/image" Target="../media/image13.jpg"/><Relationship Id="rId27" Type="http://schemas.openxmlformats.org/officeDocument/2006/relationships/image" Target="../media/image4.png"/><Relationship Id="rId30" Type="http://schemas.openxmlformats.org/officeDocument/2006/relationships/image" Target="../media/image23.jpg"/><Relationship Id="rId35" Type="http://schemas.openxmlformats.org/officeDocument/2006/relationships/image" Target="../media/image38.jpg"/><Relationship Id="rId8" Type="http://schemas.openxmlformats.org/officeDocument/2006/relationships/image" Target="../media/image33.jpg"/><Relationship Id="rId3"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123827</xdr:colOff>
      <xdr:row>6</xdr:row>
      <xdr:rowOff>304801</xdr:rowOff>
    </xdr:from>
    <xdr:to>
      <xdr:col>4</xdr:col>
      <xdr:colOff>428626</xdr:colOff>
      <xdr:row>19</xdr:row>
      <xdr:rowOff>152400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827" y="2143126"/>
          <a:ext cx="2743199" cy="2743199"/>
        </a:xfrm>
        <a:prstGeom prst="rect">
          <a:avLst/>
        </a:prstGeom>
      </xdr:spPr>
    </xdr:pic>
    <xdr:clientData/>
  </xdr:twoCellAnchor>
  <xdr:twoCellAnchor editAs="oneCell">
    <xdr:from>
      <xdr:col>4</xdr:col>
      <xdr:colOff>314326</xdr:colOff>
      <xdr:row>7</xdr:row>
      <xdr:rowOff>53975</xdr:rowOff>
    </xdr:from>
    <xdr:to>
      <xdr:col>8</xdr:col>
      <xdr:colOff>565152</xdr:colOff>
      <xdr:row>20</xdr:row>
      <xdr:rowOff>57151</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52726" y="2292350"/>
          <a:ext cx="2689226" cy="2689226"/>
        </a:xfrm>
        <a:prstGeom prst="rect">
          <a:avLst/>
        </a:prstGeom>
      </xdr:spPr>
    </xdr:pic>
    <xdr:clientData/>
  </xdr:twoCellAnchor>
  <xdr:twoCellAnchor editAs="oneCell">
    <xdr:from>
      <xdr:col>9</xdr:col>
      <xdr:colOff>57151</xdr:colOff>
      <xdr:row>7</xdr:row>
      <xdr:rowOff>28575</xdr:rowOff>
    </xdr:from>
    <xdr:to>
      <xdr:col>13</xdr:col>
      <xdr:colOff>247650</xdr:colOff>
      <xdr:row>19</xdr:row>
      <xdr:rowOff>161924</xdr:rowOff>
    </xdr:to>
    <xdr:pic>
      <xdr:nvPicPr>
        <xdr:cNvPr id="9" name="Picture 8">
          <a:hlinkClick xmlns:r="http://schemas.openxmlformats.org/officeDocument/2006/relationships" r:id="rId5"/>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543551" y="2266950"/>
          <a:ext cx="2628899" cy="2628899"/>
        </a:xfrm>
        <a:prstGeom prst="rect">
          <a:avLst/>
        </a:prstGeom>
      </xdr:spPr>
    </xdr:pic>
    <xdr:clientData/>
  </xdr:twoCellAnchor>
  <xdr:twoCellAnchor editAs="oneCell">
    <xdr:from>
      <xdr:col>0</xdr:col>
      <xdr:colOff>257176</xdr:colOff>
      <xdr:row>0</xdr:row>
      <xdr:rowOff>0</xdr:rowOff>
    </xdr:from>
    <xdr:to>
      <xdr:col>4</xdr:col>
      <xdr:colOff>348864</xdr:colOff>
      <xdr:row>2</xdr:row>
      <xdr:rowOff>142875</xdr:rowOff>
    </xdr:to>
    <xdr:pic>
      <xdr:nvPicPr>
        <xdr:cNvPr id="4" name="Picture 3">
          <a:hlinkClick xmlns:r="http://schemas.openxmlformats.org/officeDocument/2006/relationships" r:id="rId7"/>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257176" y="0"/>
          <a:ext cx="2530088" cy="523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107950</xdr:colOff>
      <xdr:row>136</xdr:row>
      <xdr:rowOff>6350</xdr:rowOff>
    </xdr:from>
    <xdr:to>
      <xdr:col>0</xdr:col>
      <xdr:colOff>781050</xdr:colOff>
      <xdr:row>138</xdr:row>
      <xdr:rowOff>180730</xdr:rowOff>
    </xdr:to>
    <xdr:sp macro="" textlink="">
      <xdr:nvSpPr>
        <xdr:cNvPr id="63" name="Rectangle: Rounded Corners 62">
          <a:extLst>
            <a:ext uri="{FF2B5EF4-FFF2-40B4-BE49-F238E27FC236}">
              <a16:creationId xmlns:a16="http://schemas.microsoft.com/office/drawing/2014/main" id="{E48C032F-F6E8-4B01-8AE1-8FB6614F8AA6}"/>
            </a:ext>
          </a:extLst>
        </xdr:cNvPr>
        <xdr:cNvSpPr/>
      </xdr:nvSpPr>
      <xdr:spPr>
        <a:xfrm>
          <a:off x="107950" y="26225500"/>
          <a:ext cx="673100" cy="568080"/>
        </a:xfrm>
        <a:prstGeom prst="roundRect">
          <a:avLst/>
        </a:prstGeom>
        <a:blipFill>
          <a:blip xmlns:r="http://schemas.openxmlformats.org/officeDocument/2006/relationships" r:embed="rId1"/>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50800</xdr:colOff>
      <xdr:row>139</xdr:row>
      <xdr:rowOff>19050</xdr:rowOff>
    </xdr:from>
    <xdr:to>
      <xdr:col>0</xdr:col>
      <xdr:colOff>742950</xdr:colOff>
      <xdr:row>142</xdr:row>
      <xdr:rowOff>60080</xdr:rowOff>
    </xdr:to>
    <xdr:sp macro="" textlink="">
      <xdr:nvSpPr>
        <xdr:cNvPr id="1793" name="Rectangle: Rounded Corners 1792">
          <a:extLst>
            <a:ext uri="{FF2B5EF4-FFF2-40B4-BE49-F238E27FC236}">
              <a16:creationId xmlns:a16="http://schemas.microsoft.com/office/drawing/2014/main" id="{3A23903F-25B6-4D73-A5B4-C1019C5BA941}"/>
            </a:ext>
          </a:extLst>
        </xdr:cNvPr>
        <xdr:cNvSpPr/>
      </xdr:nvSpPr>
      <xdr:spPr>
        <a:xfrm>
          <a:off x="50800" y="26822400"/>
          <a:ext cx="692150" cy="625230"/>
        </a:xfrm>
        <a:prstGeom prst="roundRect">
          <a:avLst/>
        </a:prstGeom>
        <a:blipFill>
          <a:blip xmlns:r="http://schemas.openxmlformats.org/officeDocument/2006/relationships" r:embed="rId2"/>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63500</xdr:colOff>
      <xdr:row>142</xdr:row>
      <xdr:rowOff>50800</xdr:rowOff>
    </xdr:from>
    <xdr:to>
      <xdr:col>0</xdr:col>
      <xdr:colOff>730250</xdr:colOff>
      <xdr:row>145</xdr:row>
      <xdr:rowOff>41030</xdr:rowOff>
    </xdr:to>
    <xdr:sp macro="" textlink="">
      <xdr:nvSpPr>
        <xdr:cNvPr id="1795" name="Rectangle: Rounded Corners 1794">
          <a:extLst>
            <a:ext uri="{FF2B5EF4-FFF2-40B4-BE49-F238E27FC236}">
              <a16:creationId xmlns:a16="http://schemas.microsoft.com/office/drawing/2014/main" id="{70C287C6-A3A2-440D-8396-72A3A957D506}"/>
            </a:ext>
          </a:extLst>
        </xdr:cNvPr>
        <xdr:cNvSpPr/>
      </xdr:nvSpPr>
      <xdr:spPr>
        <a:xfrm>
          <a:off x="63500" y="27438350"/>
          <a:ext cx="666750" cy="561730"/>
        </a:xfrm>
        <a:prstGeom prst="roundRect">
          <a:avLst/>
        </a:prstGeom>
        <a:blipFill>
          <a:blip xmlns:r="http://schemas.openxmlformats.org/officeDocument/2006/relationships" r:embed="rId3"/>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76200</xdr:colOff>
      <xdr:row>145</xdr:row>
      <xdr:rowOff>63500</xdr:rowOff>
    </xdr:from>
    <xdr:to>
      <xdr:col>0</xdr:col>
      <xdr:colOff>762000</xdr:colOff>
      <xdr:row>148</xdr:row>
      <xdr:rowOff>44450</xdr:rowOff>
    </xdr:to>
    <xdr:sp macro="" textlink="">
      <xdr:nvSpPr>
        <xdr:cNvPr id="1798" name="Rectangle: Rounded Corners 1797">
          <a:extLst>
            <a:ext uri="{FF2B5EF4-FFF2-40B4-BE49-F238E27FC236}">
              <a16:creationId xmlns:a16="http://schemas.microsoft.com/office/drawing/2014/main" id="{D50BE064-AEDD-4CA1-ACF1-2A66C4850F8C}"/>
            </a:ext>
          </a:extLst>
        </xdr:cNvPr>
        <xdr:cNvSpPr/>
      </xdr:nvSpPr>
      <xdr:spPr>
        <a:xfrm>
          <a:off x="76200" y="28022550"/>
          <a:ext cx="685800" cy="552450"/>
        </a:xfrm>
        <a:prstGeom prst="roundRect">
          <a:avLst/>
        </a:prstGeom>
        <a:blipFill>
          <a:blip xmlns:r="http://schemas.openxmlformats.org/officeDocument/2006/relationships" r:embed="rId4"/>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38100</xdr:colOff>
      <xdr:row>121</xdr:row>
      <xdr:rowOff>82550</xdr:rowOff>
    </xdr:from>
    <xdr:to>
      <xdr:col>0</xdr:col>
      <xdr:colOff>736600</xdr:colOff>
      <xdr:row>125</xdr:row>
      <xdr:rowOff>142630</xdr:rowOff>
    </xdr:to>
    <xdr:sp macro="" textlink="">
      <xdr:nvSpPr>
        <xdr:cNvPr id="56" name="Rectangle: Rounded Corners 55">
          <a:extLst>
            <a:ext uri="{FF2B5EF4-FFF2-40B4-BE49-F238E27FC236}">
              <a16:creationId xmlns:a16="http://schemas.microsoft.com/office/drawing/2014/main" id="{7928F7D5-F47E-4E9B-90E8-26AA889EA66B}"/>
            </a:ext>
          </a:extLst>
        </xdr:cNvPr>
        <xdr:cNvSpPr/>
      </xdr:nvSpPr>
      <xdr:spPr>
        <a:xfrm>
          <a:off x="38100" y="23418800"/>
          <a:ext cx="698500" cy="822080"/>
        </a:xfrm>
        <a:prstGeom prst="roundRect">
          <a:avLst/>
        </a:prstGeom>
        <a:blipFill>
          <a:blip xmlns:r="http://schemas.openxmlformats.org/officeDocument/2006/relationships" r:embed="rId5"/>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33216</xdr:colOff>
      <xdr:row>113</xdr:row>
      <xdr:rowOff>194896</xdr:rowOff>
    </xdr:from>
    <xdr:to>
      <xdr:col>0</xdr:col>
      <xdr:colOff>765907</xdr:colOff>
      <xdr:row>118</xdr:row>
      <xdr:rowOff>26376</xdr:rowOff>
    </xdr:to>
    <xdr:sp macro="" textlink="">
      <xdr:nvSpPr>
        <xdr:cNvPr id="52" name="Rectangle: Rounded Corners 51">
          <a:extLst>
            <a:ext uri="{FF2B5EF4-FFF2-40B4-BE49-F238E27FC236}">
              <a16:creationId xmlns:a16="http://schemas.microsoft.com/office/drawing/2014/main" id="{DD5D3509-55D7-468C-A2AB-568D1CAA647A}"/>
            </a:ext>
          </a:extLst>
        </xdr:cNvPr>
        <xdr:cNvSpPr/>
      </xdr:nvSpPr>
      <xdr:spPr>
        <a:xfrm>
          <a:off x="33216" y="21981746"/>
          <a:ext cx="732691" cy="796680"/>
        </a:xfrm>
        <a:prstGeom prst="roundRect">
          <a:avLst/>
        </a:prstGeom>
        <a:blipFill>
          <a:blip xmlns:r="http://schemas.openxmlformats.org/officeDocument/2006/relationships" r:embed="rId6"/>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87924</xdr:colOff>
      <xdr:row>104</xdr:row>
      <xdr:rowOff>80596</xdr:rowOff>
    </xdr:from>
    <xdr:to>
      <xdr:col>1</xdr:col>
      <xdr:colOff>7327</xdr:colOff>
      <xdr:row>108</xdr:row>
      <xdr:rowOff>109903</xdr:rowOff>
    </xdr:to>
    <xdr:sp macro="" textlink="">
      <xdr:nvSpPr>
        <xdr:cNvPr id="51" name="Rectangle: Rounded Corners 50">
          <a:extLst>
            <a:ext uri="{FF2B5EF4-FFF2-40B4-BE49-F238E27FC236}">
              <a16:creationId xmlns:a16="http://schemas.microsoft.com/office/drawing/2014/main" id="{B1FDE931-7623-4F48-BB38-426E8414F48F}"/>
            </a:ext>
          </a:extLst>
        </xdr:cNvPr>
        <xdr:cNvSpPr/>
      </xdr:nvSpPr>
      <xdr:spPr>
        <a:xfrm>
          <a:off x="87924" y="20083096"/>
          <a:ext cx="732691" cy="791307"/>
        </a:xfrm>
        <a:prstGeom prst="roundRect">
          <a:avLst/>
        </a:prstGeom>
        <a:blipFill>
          <a:blip xmlns:r="http://schemas.openxmlformats.org/officeDocument/2006/relationships" r:embed="rId7"/>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212969</xdr:colOff>
      <xdr:row>83</xdr:row>
      <xdr:rowOff>127000</xdr:rowOff>
    </xdr:from>
    <xdr:to>
      <xdr:col>8</xdr:col>
      <xdr:colOff>146050</xdr:colOff>
      <xdr:row>86</xdr:row>
      <xdr:rowOff>78153</xdr:rowOff>
    </xdr:to>
    <xdr:sp macro="" textlink="">
      <xdr:nvSpPr>
        <xdr:cNvPr id="47" name="Rectangle: Rounded Corners 46">
          <a:extLst>
            <a:ext uri="{FF2B5EF4-FFF2-40B4-BE49-F238E27FC236}">
              <a16:creationId xmlns:a16="http://schemas.microsoft.com/office/drawing/2014/main" id="{C503C0C7-3FE5-4F06-BF89-CC99672B58A1}"/>
            </a:ext>
          </a:extLst>
        </xdr:cNvPr>
        <xdr:cNvSpPr/>
      </xdr:nvSpPr>
      <xdr:spPr>
        <a:xfrm>
          <a:off x="4734169" y="16135350"/>
          <a:ext cx="580781" cy="548053"/>
        </a:xfrm>
        <a:prstGeom prst="roundRect">
          <a:avLst/>
        </a:prstGeom>
        <a:blipFill>
          <a:blip xmlns:r="http://schemas.openxmlformats.org/officeDocument/2006/relationships" r:embed="rId8"/>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9</xdr:col>
      <xdr:colOff>21981</xdr:colOff>
      <xdr:row>44</xdr:row>
      <xdr:rowOff>80597</xdr:rowOff>
    </xdr:from>
    <xdr:to>
      <xdr:col>9</xdr:col>
      <xdr:colOff>608135</xdr:colOff>
      <xdr:row>47</xdr:row>
      <xdr:rowOff>36635</xdr:rowOff>
    </xdr:to>
    <xdr:sp macro="" textlink="">
      <xdr:nvSpPr>
        <xdr:cNvPr id="24" name="Rectangle: Rounded Corners 23">
          <a:extLst>
            <a:ext uri="{FF2B5EF4-FFF2-40B4-BE49-F238E27FC236}">
              <a16:creationId xmlns:a16="http://schemas.microsoft.com/office/drawing/2014/main" id="{E900659D-3606-4958-A831-AB1500BEA0EB}"/>
            </a:ext>
          </a:extLst>
        </xdr:cNvPr>
        <xdr:cNvSpPr/>
      </xdr:nvSpPr>
      <xdr:spPr>
        <a:xfrm>
          <a:off x="5890846" y="8535866"/>
          <a:ext cx="586154" cy="527538"/>
        </a:xfrm>
        <a:prstGeom prst="roundRect">
          <a:avLst/>
        </a:prstGeom>
        <a:blipFill>
          <a:blip xmlns:r="http://schemas.openxmlformats.org/officeDocument/2006/relationships" r:embed="rId9"/>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14652</xdr:colOff>
      <xdr:row>44</xdr:row>
      <xdr:rowOff>168520</xdr:rowOff>
    </xdr:from>
    <xdr:to>
      <xdr:col>0</xdr:col>
      <xdr:colOff>761999</xdr:colOff>
      <xdr:row>48</xdr:row>
      <xdr:rowOff>146539</xdr:rowOff>
    </xdr:to>
    <xdr:sp macro="" textlink="">
      <xdr:nvSpPr>
        <xdr:cNvPr id="22" name="Rectangle: Rounded Corners 21">
          <a:extLst>
            <a:ext uri="{FF2B5EF4-FFF2-40B4-BE49-F238E27FC236}">
              <a16:creationId xmlns:a16="http://schemas.microsoft.com/office/drawing/2014/main" id="{EED23D02-3CD1-4E68-A226-3D9699B5DA63}"/>
            </a:ext>
          </a:extLst>
        </xdr:cNvPr>
        <xdr:cNvSpPr/>
      </xdr:nvSpPr>
      <xdr:spPr>
        <a:xfrm>
          <a:off x="14652" y="8623789"/>
          <a:ext cx="747347" cy="740019"/>
        </a:xfrm>
        <a:prstGeom prst="roundRect">
          <a:avLst/>
        </a:prstGeom>
        <a:blipFill>
          <a:blip xmlns:r="http://schemas.openxmlformats.org/officeDocument/2006/relationships" r:embed="rId10"/>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4</xdr:col>
      <xdr:colOff>219808</xdr:colOff>
      <xdr:row>83</xdr:row>
      <xdr:rowOff>175847</xdr:rowOff>
    </xdr:from>
    <xdr:to>
      <xdr:col>5</xdr:col>
      <xdr:colOff>498231</xdr:colOff>
      <xdr:row>86</xdr:row>
      <xdr:rowOff>153866</xdr:rowOff>
    </xdr:to>
    <xdr:sp macro="" textlink="">
      <xdr:nvSpPr>
        <xdr:cNvPr id="42" name="Rectangle: Rounded Corners 41">
          <a:extLst>
            <a:ext uri="{FF2B5EF4-FFF2-40B4-BE49-F238E27FC236}">
              <a16:creationId xmlns:a16="http://schemas.microsoft.com/office/drawing/2014/main" id="{69D2A640-88A6-499C-9450-A2F101CAF9E1}"/>
            </a:ext>
          </a:extLst>
        </xdr:cNvPr>
        <xdr:cNvSpPr/>
      </xdr:nvSpPr>
      <xdr:spPr>
        <a:xfrm>
          <a:off x="2798885" y="16133885"/>
          <a:ext cx="923192" cy="564173"/>
        </a:xfrm>
        <a:prstGeom prst="roundRect">
          <a:avLst/>
        </a:prstGeom>
        <a:blipFill>
          <a:blip xmlns:r="http://schemas.openxmlformats.org/officeDocument/2006/relationships" r:embed="rId11"/>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36635</xdr:colOff>
      <xdr:row>82</xdr:row>
      <xdr:rowOff>29307</xdr:rowOff>
    </xdr:from>
    <xdr:to>
      <xdr:col>0</xdr:col>
      <xdr:colOff>769327</xdr:colOff>
      <xdr:row>85</xdr:row>
      <xdr:rowOff>102576</xdr:rowOff>
    </xdr:to>
    <xdr:sp macro="" textlink="">
      <xdr:nvSpPr>
        <xdr:cNvPr id="41" name="Rectangle: Rounded Corners 40">
          <a:extLst>
            <a:ext uri="{FF2B5EF4-FFF2-40B4-BE49-F238E27FC236}">
              <a16:creationId xmlns:a16="http://schemas.microsoft.com/office/drawing/2014/main" id="{D1B0A66B-5BFD-4AB5-861C-389F741B7B19}"/>
            </a:ext>
          </a:extLst>
        </xdr:cNvPr>
        <xdr:cNvSpPr/>
      </xdr:nvSpPr>
      <xdr:spPr>
        <a:xfrm>
          <a:off x="36635" y="15796845"/>
          <a:ext cx="732692" cy="652096"/>
        </a:xfrm>
        <a:prstGeom prst="roundRect">
          <a:avLst/>
        </a:prstGeom>
        <a:blipFill>
          <a:blip xmlns:r="http://schemas.openxmlformats.org/officeDocument/2006/relationships" r:embed="rId12"/>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43961</xdr:colOff>
      <xdr:row>72</xdr:row>
      <xdr:rowOff>65941</xdr:rowOff>
    </xdr:from>
    <xdr:to>
      <xdr:col>0</xdr:col>
      <xdr:colOff>805961</xdr:colOff>
      <xdr:row>76</xdr:row>
      <xdr:rowOff>43960</xdr:rowOff>
    </xdr:to>
    <xdr:sp macro="" textlink="">
      <xdr:nvSpPr>
        <xdr:cNvPr id="39" name="Rectangle: Rounded Corners 38">
          <a:extLst>
            <a:ext uri="{FF2B5EF4-FFF2-40B4-BE49-F238E27FC236}">
              <a16:creationId xmlns:a16="http://schemas.microsoft.com/office/drawing/2014/main" id="{8CD43A96-54E8-410F-90BD-E892FE5E973B}"/>
            </a:ext>
          </a:extLst>
        </xdr:cNvPr>
        <xdr:cNvSpPr/>
      </xdr:nvSpPr>
      <xdr:spPr>
        <a:xfrm>
          <a:off x="43961" y="13884518"/>
          <a:ext cx="762000" cy="769327"/>
        </a:xfrm>
        <a:prstGeom prst="roundRect">
          <a:avLst/>
        </a:prstGeom>
        <a:blipFill>
          <a:blip xmlns:r="http://schemas.openxmlformats.org/officeDocument/2006/relationships" r:embed="rId13"/>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117230</xdr:colOff>
      <xdr:row>65</xdr:row>
      <xdr:rowOff>183174</xdr:rowOff>
    </xdr:from>
    <xdr:to>
      <xdr:col>0</xdr:col>
      <xdr:colOff>776653</xdr:colOff>
      <xdr:row>69</xdr:row>
      <xdr:rowOff>73270</xdr:rowOff>
    </xdr:to>
    <xdr:sp macro="" textlink="">
      <xdr:nvSpPr>
        <xdr:cNvPr id="36" name="Rectangle: Rounded Corners 35">
          <a:extLst>
            <a:ext uri="{FF2B5EF4-FFF2-40B4-BE49-F238E27FC236}">
              <a16:creationId xmlns:a16="http://schemas.microsoft.com/office/drawing/2014/main" id="{AF12D677-5ECF-4DC5-A7AD-8C99818F032A}"/>
            </a:ext>
          </a:extLst>
        </xdr:cNvPr>
        <xdr:cNvSpPr/>
      </xdr:nvSpPr>
      <xdr:spPr>
        <a:xfrm>
          <a:off x="117230" y="12638943"/>
          <a:ext cx="659423" cy="666750"/>
        </a:xfrm>
        <a:prstGeom prst="roundRect">
          <a:avLst/>
        </a:prstGeom>
        <a:blipFill>
          <a:blip xmlns:r="http://schemas.openxmlformats.org/officeDocument/2006/relationships" r:embed="rId14"/>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65942</xdr:colOff>
      <xdr:row>59</xdr:row>
      <xdr:rowOff>73269</xdr:rowOff>
    </xdr:from>
    <xdr:to>
      <xdr:col>0</xdr:col>
      <xdr:colOff>762000</xdr:colOff>
      <xdr:row>62</xdr:row>
      <xdr:rowOff>161193</xdr:rowOff>
    </xdr:to>
    <xdr:sp macro="" textlink="">
      <xdr:nvSpPr>
        <xdr:cNvPr id="28" name="Rectangle: Rounded Corners 27">
          <a:extLst>
            <a:ext uri="{FF2B5EF4-FFF2-40B4-BE49-F238E27FC236}">
              <a16:creationId xmlns:a16="http://schemas.microsoft.com/office/drawing/2014/main" id="{8F0D5DB7-2A14-4ED7-997F-5D82B783FDA9}"/>
            </a:ext>
          </a:extLst>
        </xdr:cNvPr>
        <xdr:cNvSpPr/>
      </xdr:nvSpPr>
      <xdr:spPr>
        <a:xfrm>
          <a:off x="65942" y="11386038"/>
          <a:ext cx="696058" cy="659424"/>
        </a:xfrm>
        <a:prstGeom prst="roundRect">
          <a:avLst/>
        </a:prstGeom>
        <a:blipFill>
          <a:blip xmlns:r="http://schemas.openxmlformats.org/officeDocument/2006/relationships" r:embed="rId15"/>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73269</xdr:colOff>
      <xdr:row>52</xdr:row>
      <xdr:rowOff>168519</xdr:rowOff>
    </xdr:from>
    <xdr:to>
      <xdr:col>0</xdr:col>
      <xdr:colOff>703385</xdr:colOff>
      <xdr:row>56</xdr:row>
      <xdr:rowOff>58615</xdr:rowOff>
    </xdr:to>
    <xdr:sp macro="" textlink="">
      <xdr:nvSpPr>
        <xdr:cNvPr id="26" name="Rectangle: Rounded Corners 25">
          <a:extLst>
            <a:ext uri="{FF2B5EF4-FFF2-40B4-BE49-F238E27FC236}">
              <a16:creationId xmlns:a16="http://schemas.microsoft.com/office/drawing/2014/main" id="{4AFF003C-0215-47F2-991B-23F99A032FE1}"/>
            </a:ext>
          </a:extLst>
        </xdr:cNvPr>
        <xdr:cNvSpPr/>
      </xdr:nvSpPr>
      <xdr:spPr>
        <a:xfrm>
          <a:off x="73269" y="10147788"/>
          <a:ext cx="630116" cy="652096"/>
        </a:xfrm>
        <a:prstGeom prst="roundRect">
          <a:avLst/>
        </a:prstGeom>
        <a:blipFill>
          <a:blip xmlns:r="http://schemas.openxmlformats.org/officeDocument/2006/relationships" r:embed="rId16"/>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6</xdr:col>
      <xdr:colOff>65941</xdr:colOff>
      <xdr:row>44</xdr:row>
      <xdr:rowOff>117230</xdr:rowOff>
    </xdr:from>
    <xdr:to>
      <xdr:col>7</xdr:col>
      <xdr:colOff>117230</xdr:colOff>
      <xdr:row>47</xdr:row>
      <xdr:rowOff>36634</xdr:rowOff>
    </xdr:to>
    <xdr:sp macro="" textlink="">
      <xdr:nvSpPr>
        <xdr:cNvPr id="23" name="Rectangle: Rounded Corners 22">
          <a:extLst>
            <a:ext uri="{FF2B5EF4-FFF2-40B4-BE49-F238E27FC236}">
              <a16:creationId xmlns:a16="http://schemas.microsoft.com/office/drawing/2014/main" id="{B3AA649D-5755-4493-88D4-4C4829E2EB17}"/>
            </a:ext>
          </a:extLst>
        </xdr:cNvPr>
        <xdr:cNvSpPr/>
      </xdr:nvSpPr>
      <xdr:spPr>
        <a:xfrm>
          <a:off x="3934556" y="8572499"/>
          <a:ext cx="688732" cy="490904"/>
        </a:xfrm>
        <a:prstGeom prst="roundRect">
          <a:avLst/>
        </a:prstGeom>
        <a:blipFill>
          <a:blip xmlns:r="http://schemas.openxmlformats.org/officeDocument/2006/relationships" r:embed="rId9"/>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38100</xdr:colOff>
      <xdr:row>27</xdr:row>
      <xdr:rowOff>88900</xdr:rowOff>
    </xdr:from>
    <xdr:to>
      <xdr:col>0</xdr:col>
      <xdr:colOff>654050</xdr:colOff>
      <xdr:row>30</xdr:row>
      <xdr:rowOff>158750</xdr:rowOff>
    </xdr:to>
    <xdr:sp macro="" textlink="">
      <xdr:nvSpPr>
        <xdr:cNvPr id="14" name="Rectangle: Rounded Corners 13">
          <a:extLst>
            <a:ext uri="{FF2B5EF4-FFF2-40B4-BE49-F238E27FC236}">
              <a16:creationId xmlns:a16="http://schemas.microsoft.com/office/drawing/2014/main" id="{412E572D-446F-4215-9B13-DACA54C6ED3A}"/>
            </a:ext>
          </a:extLst>
        </xdr:cNvPr>
        <xdr:cNvSpPr/>
      </xdr:nvSpPr>
      <xdr:spPr>
        <a:xfrm>
          <a:off x="38100" y="5321300"/>
          <a:ext cx="615950" cy="641350"/>
        </a:xfrm>
        <a:prstGeom prst="roundRect">
          <a:avLst/>
        </a:prstGeom>
        <a:blipFill>
          <a:blip xmlns:r="http://schemas.openxmlformats.org/officeDocument/2006/relationships" r:embed="rId17"/>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0</xdr:colOff>
      <xdr:row>15</xdr:row>
      <xdr:rowOff>31750</xdr:rowOff>
    </xdr:from>
    <xdr:to>
      <xdr:col>0</xdr:col>
      <xdr:colOff>730250</xdr:colOff>
      <xdr:row>18</xdr:row>
      <xdr:rowOff>165100</xdr:rowOff>
    </xdr:to>
    <xdr:sp macro="" textlink="">
      <xdr:nvSpPr>
        <xdr:cNvPr id="3" name="Rectangle: Rounded Corners 2">
          <a:extLst>
            <a:ext uri="{FF2B5EF4-FFF2-40B4-BE49-F238E27FC236}">
              <a16:creationId xmlns:a16="http://schemas.microsoft.com/office/drawing/2014/main" id="{6B488A77-4B22-7238-BA70-EF1CC39AEE50}"/>
            </a:ext>
          </a:extLst>
        </xdr:cNvPr>
        <xdr:cNvSpPr/>
      </xdr:nvSpPr>
      <xdr:spPr>
        <a:xfrm>
          <a:off x="0" y="2965450"/>
          <a:ext cx="730250" cy="704850"/>
        </a:xfrm>
        <a:prstGeom prst="roundRect">
          <a:avLst/>
        </a:prstGeom>
        <a:blipFill>
          <a:blip xmlns:r="http://schemas.openxmlformats.org/officeDocument/2006/relationships" r:embed="rId18"/>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7</xdr:col>
          <xdr:colOff>200025</xdr:colOff>
          <xdr:row>46</xdr:row>
          <xdr:rowOff>171450</xdr:rowOff>
        </xdr:from>
        <xdr:to>
          <xdr:col>7</xdr:col>
          <xdr:colOff>447675</xdr:colOff>
          <xdr:row>48</xdr:row>
          <xdr:rowOff>9525</xdr:rowOff>
        </xdr:to>
        <xdr:sp macro="" textlink="">
          <xdr:nvSpPr>
            <xdr:cNvPr id="1874" name="Option Button 850" hidden="1">
              <a:extLst>
                <a:ext uri="{63B3BB69-23CF-44E3-9099-C40C66FF867C}">
                  <a14:compatExt spid="_x0000_s1874"/>
                </a:ext>
                <a:ext uri="{FF2B5EF4-FFF2-40B4-BE49-F238E27FC236}">
                  <a16:creationId xmlns:a16="http://schemas.microsoft.com/office/drawing/2014/main" id="{00000000-0008-0000-0100-00005207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34</xdr:row>
          <xdr:rowOff>9525</xdr:rowOff>
        </xdr:from>
        <xdr:to>
          <xdr:col>2</xdr:col>
          <xdr:colOff>85725</xdr:colOff>
          <xdr:row>35</xdr:row>
          <xdr:rowOff>38100</xdr:rowOff>
        </xdr:to>
        <xdr:sp macro="" textlink="">
          <xdr:nvSpPr>
            <xdr:cNvPr id="1118" name="Option Button 94" hidden="1">
              <a:extLst>
                <a:ext uri="{63B3BB69-23CF-44E3-9099-C40C66FF867C}">
                  <a14:compatExt spid="_x0000_s1118"/>
                </a:ext>
                <a:ext uri="{FF2B5EF4-FFF2-40B4-BE49-F238E27FC236}">
                  <a16:creationId xmlns:a16="http://schemas.microsoft.com/office/drawing/2014/main" id="{00000000-0008-0000-01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34</xdr:row>
          <xdr:rowOff>0</xdr:rowOff>
        </xdr:from>
        <xdr:to>
          <xdr:col>3</xdr:col>
          <xdr:colOff>123825</xdr:colOff>
          <xdr:row>35</xdr:row>
          <xdr:rowOff>28575</xdr:rowOff>
        </xdr:to>
        <xdr:sp macro="" textlink="">
          <xdr:nvSpPr>
            <xdr:cNvPr id="1119" name="Option Button 95" hidden="1">
              <a:extLst>
                <a:ext uri="{63B3BB69-23CF-44E3-9099-C40C66FF867C}">
                  <a14:compatExt spid="_x0000_s1119"/>
                </a:ext>
                <a:ext uri="{FF2B5EF4-FFF2-40B4-BE49-F238E27FC236}">
                  <a16:creationId xmlns:a16="http://schemas.microsoft.com/office/drawing/2014/main" id="{00000000-0008-0000-01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33</xdr:row>
          <xdr:rowOff>180975</xdr:rowOff>
        </xdr:from>
        <xdr:to>
          <xdr:col>4</xdr:col>
          <xdr:colOff>95250</xdr:colOff>
          <xdr:row>35</xdr:row>
          <xdr:rowOff>9525</xdr:rowOff>
        </xdr:to>
        <xdr:sp macro="" textlink="">
          <xdr:nvSpPr>
            <xdr:cNvPr id="1120" name="Option Button 96" hidden="1">
              <a:extLst>
                <a:ext uri="{63B3BB69-23CF-44E3-9099-C40C66FF867C}">
                  <a14:compatExt spid="_x0000_s1120"/>
                </a:ext>
                <a:ext uri="{FF2B5EF4-FFF2-40B4-BE49-F238E27FC236}">
                  <a16:creationId xmlns:a16="http://schemas.microsoft.com/office/drawing/2014/main" id="{00000000-0008-0000-01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34</xdr:row>
          <xdr:rowOff>0</xdr:rowOff>
        </xdr:from>
        <xdr:to>
          <xdr:col>5</xdr:col>
          <xdr:colOff>95250</xdr:colOff>
          <xdr:row>35</xdr:row>
          <xdr:rowOff>19050</xdr:rowOff>
        </xdr:to>
        <xdr:sp macro="" textlink="">
          <xdr:nvSpPr>
            <xdr:cNvPr id="1121" name="Option Button 97" hidden="1">
              <a:extLst>
                <a:ext uri="{63B3BB69-23CF-44E3-9099-C40C66FF867C}">
                  <a14:compatExt spid="_x0000_s1121"/>
                </a:ext>
                <a:ext uri="{FF2B5EF4-FFF2-40B4-BE49-F238E27FC236}">
                  <a16:creationId xmlns:a16="http://schemas.microsoft.com/office/drawing/2014/main" id="{00000000-0008-0000-01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34</xdr:row>
          <xdr:rowOff>0</xdr:rowOff>
        </xdr:from>
        <xdr:to>
          <xdr:col>7</xdr:col>
          <xdr:colOff>123825</xdr:colOff>
          <xdr:row>35</xdr:row>
          <xdr:rowOff>28575</xdr:rowOff>
        </xdr:to>
        <xdr:sp macro="" textlink="">
          <xdr:nvSpPr>
            <xdr:cNvPr id="1123" name="Option Button 99" hidden="1">
              <a:extLst>
                <a:ext uri="{63B3BB69-23CF-44E3-9099-C40C66FF867C}">
                  <a14:compatExt spid="_x0000_s1123"/>
                </a:ext>
                <a:ext uri="{FF2B5EF4-FFF2-40B4-BE49-F238E27FC236}">
                  <a16:creationId xmlns:a16="http://schemas.microsoft.com/office/drawing/2014/main" id="{00000000-0008-0000-01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44</xdr:row>
          <xdr:rowOff>161925</xdr:rowOff>
        </xdr:from>
        <xdr:to>
          <xdr:col>4</xdr:col>
          <xdr:colOff>200025</xdr:colOff>
          <xdr:row>46</xdr:row>
          <xdr:rowOff>9525</xdr:rowOff>
        </xdr:to>
        <xdr:sp macro="" textlink="">
          <xdr:nvSpPr>
            <xdr:cNvPr id="1216" name="Option Button 192" hidden="1">
              <a:extLst>
                <a:ext uri="{63B3BB69-23CF-44E3-9099-C40C66FF867C}">
                  <a14:compatExt spid="_x0000_s1216"/>
                </a:ext>
                <a:ext uri="{FF2B5EF4-FFF2-40B4-BE49-F238E27FC236}">
                  <a16:creationId xmlns:a16="http://schemas.microsoft.com/office/drawing/2014/main" id="{00000000-0008-0000-0100-0000C00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45</xdr:row>
          <xdr:rowOff>171450</xdr:rowOff>
        </xdr:from>
        <xdr:to>
          <xdr:col>4</xdr:col>
          <xdr:colOff>200025</xdr:colOff>
          <xdr:row>47</xdr:row>
          <xdr:rowOff>9525</xdr:rowOff>
        </xdr:to>
        <xdr:sp macro="" textlink="">
          <xdr:nvSpPr>
            <xdr:cNvPr id="1217" name="Option Button 193" hidden="1">
              <a:extLst>
                <a:ext uri="{63B3BB69-23CF-44E3-9099-C40C66FF867C}">
                  <a14:compatExt spid="_x0000_s1217"/>
                </a:ext>
                <a:ext uri="{FF2B5EF4-FFF2-40B4-BE49-F238E27FC236}">
                  <a16:creationId xmlns:a16="http://schemas.microsoft.com/office/drawing/2014/main" id="{00000000-0008-0000-0100-0000C10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628650</xdr:colOff>
          <xdr:row>47</xdr:row>
          <xdr:rowOff>171450</xdr:rowOff>
        </xdr:from>
        <xdr:to>
          <xdr:col>1</xdr:col>
          <xdr:colOff>38100</xdr:colOff>
          <xdr:row>49</xdr:row>
          <xdr:rowOff>9525</xdr:rowOff>
        </xdr:to>
        <xdr:sp macro="" textlink="">
          <xdr:nvSpPr>
            <xdr:cNvPr id="1273" name="Option 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27</xdr:row>
          <xdr:rowOff>9525</xdr:rowOff>
        </xdr:from>
        <xdr:to>
          <xdr:col>1</xdr:col>
          <xdr:colOff>9525</xdr:colOff>
          <xdr:row>28</xdr:row>
          <xdr:rowOff>19050</xdr:rowOff>
        </xdr:to>
        <xdr:sp macro="" textlink="">
          <xdr:nvSpPr>
            <xdr:cNvPr id="1442" name="Option 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28</xdr:row>
          <xdr:rowOff>9525</xdr:rowOff>
        </xdr:from>
        <xdr:to>
          <xdr:col>1</xdr:col>
          <xdr:colOff>9525</xdr:colOff>
          <xdr:row>29</xdr:row>
          <xdr:rowOff>38100</xdr:rowOff>
        </xdr:to>
        <xdr:sp macro="" textlink="">
          <xdr:nvSpPr>
            <xdr:cNvPr id="1443" name="Option 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29</xdr:row>
          <xdr:rowOff>180975</xdr:rowOff>
        </xdr:from>
        <xdr:to>
          <xdr:col>1</xdr:col>
          <xdr:colOff>9525</xdr:colOff>
          <xdr:row>31</xdr:row>
          <xdr:rowOff>19050</xdr:rowOff>
        </xdr:to>
        <xdr:sp macro="" textlink="">
          <xdr:nvSpPr>
            <xdr:cNvPr id="1444" name="Option 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27</xdr:row>
          <xdr:rowOff>0</xdr:rowOff>
        </xdr:from>
        <xdr:to>
          <xdr:col>4</xdr:col>
          <xdr:colOff>190500</xdr:colOff>
          <xdr:row>28</xdr:row>
          <xdr:rowOff>28575</xdr:rowOff>
        </xdr:to>
        <xdr:sp macro="" textlink="">
          <xdr:nvSpPr>
            <xdr:cNvPr id="1445" name="Option 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628650</xdr:colOff>
          <xdr:row>45</xdr:row>
          <xdr:rowOff>9525</xdr:rowOff>
        </xdr:from>
        <xdr:to>
          <xdr:col>1</xdr:col>
          <xdr:colOff>57150</xdr:colOff>
          <xdr:row>46</xdr:row>
          <xdr:rowOff>28575</xdr:rowOff>
        </xdr:to>
        <xdr:sp macro="" textlink="">
          <xdr:nvSpPr>
            <xdr:cNvPr id="1459" name="Option 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485775</xdr:colOff>
          <xdr:row>44</xdr:row>
          <xdr:rowOff>142875</xdr:rowOff>
        </xdr:from>
        <xdr:to>
          <xdr:col>9</xdr:col>
          <xdr:colOff>600075</xdr:colOff>
          <xdr:row>49</xdr:row>
          <xdr:rowOff>114300</xdr:rowOff>
        </xdr:to>
        <xdr:sp macro="" textlink="">
          <xdr:nvSpPr>
            <xdr:cNvPr id="1473" name="Group Box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361950</xdr:colOff>
          <xdr:row>52</xdr:row>
          <xdr:rowOff>76200</xdr:rowOff>
        </xdr:from>
        <xdr:to>
          <xdr:col>9</xdr:col>
          <xdr:colOff>495300</xdr:colOff>
          <xdr:row>54</xdr:row>
          <xdr:rowOff>95250</xdr:rowOff>
        </xdr:to>
        <xdr:sp macro="" textlink="">
          <xdr:nvSpPr>
            <xdr:cNvPr id="1550" name="Group Box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526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628650</xdr:colOff>
          <xdr:row>52</xdr:row>
          <xdr:rowOff>180975</xdr:rowOff>
        </xdr:from>
        <xdr:to>
          <xdr:col>1</xdr:col>
          <xdr:colOff>38100</xdr:colOff>
          <xdr:row>54</xdr:row>
          <xdr:rowOff>19050</xdr:rowOff>
        </xdr:to>
        <xdr:sp macro="" textlink="">
          <xdr:nvSpPr>
            <xdr:cNvPr id="1551" name="Option 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52</xdr:row>
          <xdr:rowOff>171450</xdr:rowOff>
        </xdr:from>
        <xdr:to>
          <xdr:col>2</xdr:col>
          <xdr:colOff>47625</xdr:colOff>
          <xdr:row>54</xdr:row>
          <xdr:rowOff>9525</xdr:rowOff>
        </xdr:to>
        <xdr:sp macro="" textlink="">
          <xdr:nvSpPr>
            <xdr:cNvPr id="1553" name="Option 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457200</xdr:colOff>
          <xdr:row>52</xdr:row>
          <xdr:rowOff>171450</xdr:rowOff>
        </xdr:from>
        <xdr:to>
          <xdr:col>3</xdr:col>
          <xdr:colOff>38100</xdr:colOff>
          <xdr:row>54</xdr:row>
          <xdr:rowOff>9525</xdr:rowOff>
        </xdr:to>
        <xdr:sp macro="" textlink="">
          <xdr:nvSpPr>
            <xdr:cNvPr id="1554" name="Option 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52</xdr:row>
          <xdr:rowOff>161925</xdr:rowOff>
        </xdr:from>
        <xdr:to>
          <xdr:col>4</xdr:col>
          <xdr:colOff>28575</xdr:colOff>
          <xdr:row>54</xdr:row>
          <xdr:rowOff>0</xdr:rowOff>
        </xdr:to>
        <xdr:sp macro="" textlink="">
          <xdr:nvSpPr>
            <xdr:cNvPr id="1555" name="Option 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52</xdr:row>
          <xdr:rowOff>161925</xdr:rowOff>
        </xdr:from>
        <xdr:to>
          <xdr:col>5</xdr:col>
          <xdr:colOff>9525</xdr:colOff>
          <xdr:row>54</xdr:row>
          <xdr:rowOff>0</xdr:rowOff>
        </xdr:to>
        <xdr:sp macro="" textlink="">
          <xdr:nvSpPr>
            <xdr:cNvPr id="1556" name="Option 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52</xdr:row>
          <xdr:rowOff>171450</xdr:rowOff>
        </xdr:from>
        <xdr:to>
          <xdr:col>6</xdr:col>
          <xdr:colOff>9525</xdr:colOff>
          <xdr:row>54</xdr:row>
          <xdr:rowOff>9525</xdr:rowOff>
        </xdr:to>
        <xdr:sp macro="" textlink="">
          <xdr:nvSpPr>
            <xdr:cNvPr id="1557" name="Option 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52</xdr:row>
          <xdr:rowOff>171450</xdr:rowOff>
        </xdr:from>
        <xdr:to>
          <xdr:col>7</xdr:col>
          <xdr:colOff>0</xdr:colOff>
          <xdr:row>54</xdr:row>
          <xdr:rowOff>9525</xdr:rowOff>
        </xdr:to>
        <xdr:sp macro="" textlink="">
          <xdr:nvSpPr>
            <xdr:cNvPr id="1558" name="Option 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xdr:row>
          <xdr:rowOff>47625</xdr:rowOff>
        </xdr:from>
        <xdr:to>
          <xdr:col>9</xdr:col>
          <xdr:colOff>514350</xdr:colOff>
          <xdr:row>64</xdr:row>
          <xdr:rowOff>57150</xdr:rowOff>
        </xdr:to>
        <xdr:sp macro="" textlink="">
          <xdr:nvSpPr>
            <xdr:cNvPr id="1559" name="Group Box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535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628650</xdr:colOff>
          <xdr:row>59</xdr:row>
          <xdr:rowOff>180975</xdr:rowOff>
        </xdr:from>
        <xdr:to>
          <xdr:col>1</xdr:col>
          <xdr:colOff>66675</xdr:colOff>
          <xdr:row>61</xdr:row>
          <xdr:rowOff>19050</xdr:rowOff>
        </xdr:to>
        <xdr:sp macro="" textlink="">
          <xdr:nvSpPr>
            <xdr:cNvPr id="1560" name="Option 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59</xdr:row>
          <xdr:rowOff>171450</xdr:rowOff>
        </xdr:from>
        <xdr:to>
          <xdr:col>4</xdr:col>
          <xdr:colOff>161925</xdr:colOff>
          <xdr:row>61</xdr:row>
          <xdr:rowOff>9525</xdr:rowOff>
        </xdr:to>
        <xdr:sp macro="" textlink="">
          <xdr:nvSpPr>
            <xdr:cNvPr id="1561" name="Option 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60</xdr:row>
          <xdr:rowOff>0</xdr:rowOff>
        </xdr:from>
        <xdr:to>
          <xdr:col>7</xdr:col>
          <xdr:colOff>495300</xdr:colOff>
          <xdr:row>61</xdr:row>
          <xdr:rowOff>28575</xdr:rowOff>
        </xdr:to>
        <xdr:sp macro="" textlink="">
          <xdr:nvSpPr>
            <xdr:cNvPr id="1563" name="Option 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71</xdr:row>
          <xdr:rowOff>85725</xdr:rowOff>
        </xdr:from>
        <xdr:to>
          <xdr:col>9</xdr:col>
          <xdr:colOff>619125</xdr:colOff>
          <xdr:row>79</xdr:row>
          <xdr:rowOff>161925</xdr:rowOff>
        </xdr:to>
        <xdr:sp macro="" textlink="">
          <xdr:nvSpPr>
            <xdr:cNvPr id="1575" name="Group Box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72</xdr:row>
          <xdr:rowOff>0</xdr:rowOff>
        </xdr:from>
        <xdr:to>
          <xdr:col>1</xdr:col>
          <xdr:colOff>47625</xdr:colOff>
          <xdr:row>73</xdr:row>
          <xdr:rowOff>28575</xdr:rowOff>
        </xdr:to>
        <xdr:sp macro="" textlink="">
          <xdr:nvSpPr>
            <xdr:cNvPr id="1576" name="Option 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628650</xdr:colOff>
          <xdr:row>73</xdr:row>
          <xdr:rowOff>171450</xdr:rowOff>
        </xdr:from>
        <xdr:to>
          <xdr:col>4</xdr:col>
          <xdr:colOff>209550</xdr:colOff>
          <xdr:row>74</xdr:row>
          <xdr:rowOff>190500</xdr:rowOff>
        </xdr:to>
        <xdr:sp macro="" textlink="">
          <xdr:nvSpPr>
            <xdr:cNvPr id="1578" name="Option 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628650</xdr:colOff>
          <xdr:row>72</xdr:row>
          <xdr:rowOff>9525</xdr:rowOff>
        </xdr:from>
        <xdr:to>
          <xdr:col>4</xdr:col>
          <xdr:colOff>209550</xdr:colOff>
          <xdr:row>73</xdr:row>
          <xdr:rowOff>38100</xdr:rowOff>
        </xdr:to>
        <xdr:sp macro="" textlink="">
          <xdr:nvSpPr>
            <xdr:cNvPr id="1579" name="Option 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73</xdr:row>
          <xdr:rowOff>161925</xdr:rowOff>
        </xdr:from>
        <xdr:to>
          <xdr:col>1</xdr:col>
          <xdr:colOff>57150</xdr:colOff>
          <xdr:row>74</xdr:row>
          <xdr:rowOff>180975</xdr:rowOff>
        </xdr:to>
        <xdr:sp macro="" textlink="">
          <xdr:nvSpPr>
            <xdr:cNvPr id="1580" name="Option 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75</xdr:row>
          <xdr:rowOff>180975</xdr:rowOff>
        </xdr:from>
        <xdr:to>
          <xdr:col>1</xdr:col>
          <xdr:colOff>57150</xdr:colOff>
          <xdr:row>77</xdr:row>
          <xdr:rowOff>19050</xdr:rowOff>
        </xdr:to>
        <xdr:sp macro="" textlink="">
          <xdr:nvSpPr>
            <xdr:cNvPr id="1581" name="Option 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71</xdr:row>
          <xdr:rowOff>180975</xdr:rowOff>
        </xdr:from>
        <xdr:to>
          <xdr:col>7</xdr:col>
          <xdr:colOff>514350</xdr:colOff>
          <xdr:row>73</xdr:row>
          <xdr:rowOff>9525</xdr:rowOff>
        </xdr:to>
        <xdr:sp macro="" textlink="">
          <xdr:nvSpPr>
            <xdr:cNvPr id="1583" name="Option 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628650</xdr:colOff>
          <xdr:row>61</xdr:row>
          <xdr:rowOff>152400</xdr:rowOff>
        </xdr:from>
        <xdr:to>
          <xdr:col>1</xdr:col>
          <xdr:colOff>66675</xdr:colOff>
          <xdr:row>62</xdr:row>
          <xdr:rowOff>180975</xdr:rowOff>
        </xdr:to>
        <xdr:sp macro="" textlink="">
          <xdr:nvSpPr>
            <xdr:cNvPr id="1585" name="Option 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75</xdr:row>
          <xdr:rowOff>152400</xdr:rowOff>
        </xdr:from>
        <xdr:to>
          <xdr:col>4</xdr:col>
          <xdr:colOff>200025</xdr:colOff>
          <xdr:row>76</xdr:row>
          <xdr:rowOff>180975</xdr:rowOff>
        </xdr:to>
        <xdr:sp macro="" textlink="">
          <xdr:nvSpPr>
            <xdr:cNvPr id="1590" name="Check Box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647700</xdr:colOff>
          <xdr:row>77</xdr:row>
          <xdr:rowOff>152400</xdr:rowOff>
        </xdr:from>
        <xdr:to>
          <xdr:col>4</xdr:col>
          <xdr:colOff>219075</xdr:colOff>
          <xdr:row>78</xdr:row>
          <xdr:rowOff>180975</xdr:rowOff>
        </xdr:to>
        <xdr:sp macro="" textlink="">
          <xdr:nvSpPr>
            <xdr:cNvPr id="1591" name="Check Box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81</xdr:row>
          <xdr:rowOff>85725</xdr:rowOff>
        </xdr:from>
        <xdr:to>
          <xdr:col>10</xdr:col>
          <xdr:colOff>47625</xdr:colOff>
          <xdr:row>87</xdr:row>
          <xdr:rowOff>38100</xdr:rowOff>
        </xdr:to>
        <xdr:sp macro="" textlink="">
          <xdr:nvSpPr>
            <xdr:cNvPr id="1598" name="Group Box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81</xdr:row>
          <xdr:rowOff>161925</xdr:rowOff>
        </xdr:from>
        <xdr:to>
          <xdr:col>4</xdr:col>
          <xdr:colOff>219075</xdr:colOff>
          <xdr:row>83</xdr:row>
          <xdr:rowOff>19050</xdr:rowOff>
        </xdr:to>
        <xdr:sp macro="" textlink="">
          <xdr:nvSpPr>
            <xdr:cNvPr id="1600" name="Option 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628650</xdr:colOff>
          <xdr:row>84</xdr:row>
          <xdr:rowOff>171450</xdr:rowOff>
        </xdr:from>
        <xdr:to>
          <xdr:col>1</xdr:col>
          <xdr:colOff>38100</xdr:colOff>
          <xdr:row>86</xdr:row>
          <xdr:rowOff>9525</xdr:rowOff>
        </xdr:to>
        <xdr:sp macro="" textlink="">
          <xdr:nvSpPr>
            <xdr:cNvPr id="1602" name="Option 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81</xdr:row>
          <xdr:rowOff>180975</xdr:rowOff>
        </xdr:from>
        <xdr:to>
          <xdr:col>7</xdr:col>
          <xdr:colOff>523875</xdr:colOff>
          <xdr:row>83</xdr:row>
          <xdr:rowOff>47625</xdr:rowOff>
        </xdr:to>
        <xdr:sp macro="" textlink="">
          <xdr:nvSpPr>
            <xdr:cNvPr id="1603" name="Option 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628650</xdr:colOff>
          <xdr:row>89</xdr:row>
          <xdr:rowOff>171450</xdr:rowOff>
        </xdr:from>
        <xdr:to>
          <xdr:col>4</xdr:col>
          <xdr:colOff>180975</xdr:colOff>
          <xdr:row>91</xdr:row>
          <xdr:rowOff>9525</xdr:rowOff>
        </xdr:to>
        <xdr:sp macro="" textlink="">
          <xdr:nvSpPr>
            <xdr:cNvPr id="1608" name="Option 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89</xdr:row>
          <xdr:rowOff>9525</xdr:rowOff>
        </xdr:from>
        <xdr:to>
          <xdr:col>7</xdr:col>
          <xdr:colOff>542925</xdr:colOff>
          <xdr:row>90</xdr:row>
          <xdr:rowOff>38100</xdr:rowOff>
        </xdr:to>
        <xdr:sp macro="" textlink="">
          <xdr:nvSpPr>
            <xdr:cNvPr id="1609" name="Option 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628650</xdr:colOff>
          <xdr:row>88</xdr:row>
          <xdr:rowOff>180975</xdr:rowOff>
        </xdr:from>
        <xdr:to>
          <xdr:col>4</xdr:col>
          <xdr:colOff>180975</xdr:colOff>
          <xdr:row>90</xdr:row>
          <xdr:rowOff>0</xdr:rowOff>
        </xdr:to>
        <xdr:sp macro="" textlink="">
          <xdr:nvSpPr>
            <xdr:cNvPr id="1611" name="Option 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628650</xdr:colOff>
          <xdr:row>99</xdr:row>
          <xdr:rowOff>171450</xdr:rowOff>
        </xdr:from>
        <xdr:to>
          <xdr:col>1</xdr:col>
          <xdr:colOff>28575</xdr:colOff>
          <xdr:row>101</xdr:row>
          <xdr:rowOff>9525</xdr:rowOff>
        </xdr:to>
        <xdr:sp macro="" textlink="">
          <xdr:nvSpPr>
            <xdr:cNvPr id="1612" name="Option 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113</xdr:row>
          <xdr:rowOff>95250</xdr:rowOff>
        </xdr:from>
        <xdr:to>
          <xdr:col>10</xdr:col>
          <xdr:colOff>38100</xdr:colOff>
          <xdr:row>119</xdr:row>
          <xdr:rowOff>85725</xdr:rowOff>
        </xdr:to>
        <xdr:sp macro="" textlink="">
          <xdr:nvSpPr>
            <xdr:cNvPr id="1656" name="Group Box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114</xdr:row>
          <xdr:rowOff>0</xdr:rowOff>
        </xdr:from>
        <xdr:to>
          <xdr:col>1</xdr:col>
          <xdr:colOff>47625</xdr:colOff>
          <xdr:row>115</xdr:row>
          <xdr:rowOff>19050</xdr:rowOff>
        </xdr:to>
        <xdr:sp macro="" textlink="">
          <xdr:nvSpPr>
            <xdr:cNvPr id="1674" name="Option 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113</xdr:row>
          <xdr:rowOff>200025</xdr:rowOff>
        </xdr:from>
        <xdr:to>
          <xdr:col>4</xdr:col>
          <xdr:colOff>600075</xdr:colOff>
          <xdr:row>115</xdr:row>
          <xdr:rowOff>28575</xdr:rowOff>
        </xdr:to>
        <xdr:sp macro="" textlink="">
          <xdr:nvSpPr>
            <xdr:cNvPr id="1675" name="Option 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113</xdr:row>
          <xdr:rowOff>190500</xdr:rowOff>
        </xdr:from>
        <xdr:to>
          <xdr:col>8</xdr:col>
          <xdr:colOff>257175</xdr:colOff>
          <xdr:row>115</xdr:row>
          <xdr:rowOff>19050</xdr:rowOff>
        </xdr:to>
        <xdr:sp macro="" textlink="">
          <xdr:nvSpPr>
            <xdr:cNvPr id="1676" name="Option 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117</xdr:row>
          <xdr:rowOff>180975</xdr:rowOff>
        </xdr:from>
        <xdr:to>
          <xdr:col>1</xdr:col>
          <xdr:colOff>57150</xdr:colOff>
          <xdr:row>119</xdr:row>
          <xdr:rowOff>19050</xdr:rowOff>
        </xdr:to>
        <xdr:sp macro="" textlink="">
          <xdr:nvSpPr>
            <xdr:cNvPr id="1677" name="Option 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120</xdr:row>
          <xdr:rowOff>9525</xdr:rowOff>
        </xdr:from>
        <xdr:to>
          <xdr:col>10</xdr:col>
          <xdr:colOff>66675</xdr:colOff>
          <xdr:row>127</xdr:row>
          <xdr:rowOff>123825</xdr:rowOff>
        </xdr:to>
        <xdr:sp macro="" textlink="">
          <xdr:nvSpPr>
            <xdr:cNvPr id="1678" name="Group Box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628650</xdr:colOff>
          <xdr:row>120</xdr:row>
          <xdr:rowOff>161925</xdr:rowOff>
        </xdr:from>
        <xdr:to>
          <xdr:col>1</xdr:col>
          <xdr:colOff>19050</xdr:colOff>
          <xdr:row>121</xdr:row>
          <xdr:rowOff>180975</xdr:rowOff>
        </xdr:to>
        <xdr:sp macro="" textlink="">
          <xdr:nvSpPr>
            <xdr:cNvPr id="1679" name="Option 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628650</xdr:colOff>
          <xdr:row>122</xdr:row>
          <xdr:rowOff>161925</xdr:rowOff>
        </xdr:from>
        <xdr:to>
          <xdr:col>1</xdr:col>
          <xdr:colOff>19050</xdr:colOff>
          <xdr:row>124</xdr:row>
          <xdr:rowOff>0</xdr:rowOff>
        </xdr:to>
        <xdr:sp macro="" textlink="">
          <xdr:nvSpPr>
            <xdr:cNvPr id="1680" name="Option 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628650</xdr:colOff>
          <xdr:row>126</xdr:row>
          <xdr:rowOff>0</xdr:rowOff>
        </xdr:from>
        <xdr:to>
          <xdr:col>1</xdr:col>
          <xdr:colOff>19050</xdr:colOff>
          <xdr:row>127</xdr:row>
          <xdr:rowOff>28575</xdr:rowOff>
        </xdr:to>
        <xdr:sp macro="" textlink="">
          <xdr:nvSpPr>
            <xdr:cNvPr id="1681" name="Option 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121</xdr:row>
          <xdr:rowOff>19050</xdr:rowOff>
        </xdr:from>
        <xdr:to>
          <xdr:col>4</xdr:col>
          <xdr:colOff>590550</xdr:colOff>
          <xdr:row>122</xdr:row>
          <xdr:rowOff>47625</xdr:rowOff>
        </xdr:to>
        <xdr:sp macro="" textlink="">
          <xdr:nvSpPr>
            <xdr:cNvPr id="1682" name="Option 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121</xdr:row>
          <xdr:rowOff>9525</xdr:rowOff>
        </xdr:from>
        <xdr:to>
          <xdr:col>8</xdr:col>
          <xdr:colOff>276225</xdr:colOff>
          <xdr:row>122</xdr:row>
          <xdr:rowOff>38100</xdr:rowOff>
        </xdr:to>
        <xdr:sp macro="" textlink="">
          <xdr:nvSpPr>
            <xdr:cNvPr id="1683" name="Option 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352425</xdr:colOff>
          <xdr:row>128</xdr:row>
          <xdr:rowOff>152400</xdr:rowOff>
        </xdr:from>
        <xdr:to>
          <xdr:col>3</xdr:col>
          <xdr:colOff>342900</xdr:colOff>
          <xdr:row>136</xdr:row>
          <xdr:rowOff>19050</xdr:rowOff>
        </xdr:to>
        <xdr:sp macro="" textlink="">
          <xdr:nvSpPr>
            <xdr:cNvPr id="1685" name="Group Box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129</xdr:row>
          <xdr:rowOff>9525</xdr:rowOff>
        </xdr:from>
        <xdr:to>
          <xdr:col>0</xdr:col>
          <xdr:colOff>800100</xdr:colOff>
          <xdr:row>130</xdr:row>
          <xdr:rowOff>28575</xdr:rowOff>
        </xdr:to>
        <xdr:sp macro="" textlink="">
          <xdr:nvSpPr>
            <xdr:cNvPr id="1687" name="Check Box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128</xdr:row>
          <xdr:rowOff>133350</xdr:rowOff>
        </xdr:from>
        <xdr:to>
          <xdr:col>5</xdr:col>
          <xdr:colOff>504825</xdr:colOff>
          <xdr:row>135</xdr:row>
          <xdr:rowOff>133350</xdr:rowOff>
        </xdr:to>
        <xdr:sp macro="" textlink="">
          <xdr:nvSpPr>
            <xdr:cNvPr id="1688" name="Group Box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129</xdr:row>
          <xdr:rowOff>0</xdr:rowOff>
        </xdr:from>
        <xdr:to>
          <xdr:col>7</xdr:col>
          <xdr:colOff>219075</xdr:colOff>
          <xdr:row>136</xdr:row>
          <xdr:rowOff>0</xdr:rowOff>
        </xdr:to>
        <xdr:sp macro="" textlink="">
          <xdr:nvSpPr>
            <xdr:cNvPr id="1693" name="Group Box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539750</xdr:colOff>
      <xdr:row>26</xdr:row>
      <xdr:rowOff>171450</xdr:rowOff>
    </xdr:from>
    <xdr:to>
      <xdr:col>7</xdr:col>
      <xdr:colOff>69850</xdr:colOff>
      <xdr:row>31</xdr:row>
      <xdr:rowOff>50800</xdr:rowOff>
    </xdr:to>
    <xdr:sp macro="" textlink="">
      <xdr:nvSpPr>
        <xdr:cNvPr id="13" name="Rectangle: Rounded Corners 12">
          <a:extLst>
            <a:ext uri="{FF2B5EF4-FFF2-40B4-BE49-F238E27FC236}">
              <a16:creationId xmlns:a16="http://schemas.microsoft.com/office/drawing/2014/main" id="{00000000-0008-0000-0100-00000D000000}"/>
            </a:ext>
          </a:extLst>
        </xdr:cNvPr>
        <xdr:cNvSpPr/>
      </xdr:nvSpPr>
      <xdr:spPr>
        <a:xfrm>
          <a:off x="2438400" y="4787900"/>
          <a:ext cx="2120900" cy="831850"/>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31750</xdr:colOff>
      <xdr:row>26</xdr:row>
      <xdr:rowOff>184150</xdr:rowOff>
    </xdr:from>
    <xdr:to>
      <xdr:col>3</xdr:col>
      <xdr:colOff>476250</xdr:colOff>
      <xdr:row>31</xdr:row>
      <xdr:rowOff>57150</xdr:rowOff>
    </xdr:to>
    <xdr:sp macro="" textlink="">
      <xdr:nvSpPr>
        <xdr:cNvPr id="2" name="Rectangle: Rounded Corners 1">
          <a:extLst>
            <a:ext uri="{FF2B5EF4-FFF2-40B4-BE49-F238E27FC236}">
              <a16:creationId xmlns:a16="http://schemas.microsoft.com/office/drawing/2014/main" id="{00000000-0008-0000-0100-000002000000}"/>
            </a:ext>
          </a:extLst>
        </xdr:cNvPr>
        <xdr:cNvSpPr/>
      </xdr:nvSpPr>
      <xdr:spPr>
        <a:xfrm>
          <a:off x="31750" y="5226050"/>
          <a:ext cx="2381250" cy="825500"/>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25400</xdr:colOff>
      <xdr:row>33</xdr:row>
      <xdr:rowOff>76200</xdr:rowOff>
    </xdr:from>
    <xdr:to>
      <xdr:col>9</xdr:col>
      <xdr:colOff>622300</xdr:colOff>
      <xdr:row>37</xdr:row>
      <xdr:rowOff>38100</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25400" y="6451600"/>
          <a:ext cx="6483350" cy="723900"/>
        </a:xfrm>
        <a:prstGeom prst="roundRect">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31750</xdr:colOff>
      <xdr:row>44</xdr:row>
      <xdr:rowOff>58616</xdr:rowOff>
    </xdr:from>
    <xdr:to>
      <xdr:col>3</xdr:col>
      <xdr:colOff>457200</xdr:colOff>
      <xdr:row>50</xdr:row>
      <xdr:rowOff>44450</xdr:rowOff>
    </xdr:to>
    <xdr:sp macro="" textlink="">
      <xdr:nvSpPr>
        <xdr:cNvPr id="6" name="Rectangle: Rounded Corners 5">
          <a:extLst>
            <a:ext uri="{FF2B5EF4-FFF2-40B4-BE49-F238E27FC236}">
              <a16:creationId xmlns:a16="http://schemas.microsoft.com/office/drawing/2014/main" id="{00000000-0008-0000-0100-000006000000}"/>
            </a:ext>
          </a:extLst>
        </xdr:cNvPr>
        <xdr:cNvSpPr/>
      </xdr:nvSpPr>
      <xdr:spPr>
        <a:xfrm>
          <a:off x="31750" y="8513885"/>
          <a:ext cx="2359758" cy="1128834"/>
        </a:xfrm>
        <a:prstGeom prst="roundRect">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29308</xdr:colOff>
      <xdr:row>52</xdr:row>
      <xdr:rowOff>88899</xdr:rowOff>
    </xdr:from>
    <xdr:to>
      <xdr:col>9</xdr:col>
      <xdr:colOff>603250</xdr:colOff>
      <xdr:row>56</xdr:row>
      <xdr:rowOff>146538</xdr:rowOff>
    </xdr:to>
    <xdr:sp macro="" textlink="">
      <xdr:nvSpPr>
        <xdr:cNvPr id="7" name="Rectangle: Rounded Corners 6">
          <a:extLst>
            <a:ext uri="{FF2B5EF4-FFF2-40B4-BE49-F238E27FC236}">
              <a16:creationId xmlns:a16="http://schemas.microsoft.com/office/drawing/2014/main" id="{00000000-0008-0000-0100-000007000000}"/>
            </a:ext>
          </a:extLst>
        </xdr:cNvPr>
        <xdr:cNvSpPr/>
      </xdr:nvSpPr>
      <xdr:spPr>
        <a:xfrm>
          <a:off x="29308" y="10068168"/>
          <a:ext cx="6442807" cy="819639"/>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21981</xdr:colOff>
      <xdr:row>59</xdr:row>
      <xdr:rowOff>0</xdr:rowOff>
    </xdr:from>
    <xdr:to>
      <xdr:col>3</xdr:col>
      <xdr:colOff>444500</xdr:colOff>
      <xdr:row>63</xdr:row>
      <xdr:rowOff>101600</xdr:rowOff>
    </xdr:to>
    <xdr:sp macro="" textlink="">
      <xdr:nvSpPr>
        <xdr:cNvPr id="10" name="Rectangle: Rounded Corners 9">
          <a:extLst>
            <a:ext uri="{FF2B5EF4-FFF2-40B4-BE49-F238E27FC236}">
              <a16:creationId xmlns:a16="http://schemas.microsoft.com/office/drawing/2014/main" id="{00000000-0008-0000-0100-00000A000000}"/>
            </a:ext>
          </a:extLst>
        </xdr:cNvPr>
        <xdr:cNvSpPr/>
      </xdr:nvSpPr>
      <xdr:spPr>
        <a:xfrm>
          <a:off x="21981" y="11312769"/>
          <a:ext cx="2356827" cy="86360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177800</xdr:colOff>
      <xdr:row>44</xdr:row>
      <xdr:rowOff>73269</xdr:rowOff>
    </xdr:from>
    <xdr:to>
      <xdr:col>9</xdr:col>
      <xdr:colOff>628650</xdr:colOff>
      <xdr:row>50</xdr:row>
      <xdr:rowOff>69850</xdr:rowOff>
    </xdr:to>
    <xdr:sp macro="" textlink="">
      <xdr:nvSpPr>
        <xdr:cNvPr id="12" name="Rectangle: Rounded Corners 11">
          <a:extLst>
            <a:ext uri="{FF2B5EF4-FFF2-40B4-BE49-F238E27FC236}">
              <a16:creationId xmlns:a16="http://schemas.microsoft.com/office/drawing/2014/main" id="{00000000-0008-0000-0100-00000C000000}"/>
            </a:ext>
          </a:extLst>
        </xdr:cNvPr>
        <xdr:cNvSpPr/>
      </xdr:nvSpPr>
      <xdr:spPr>
        <a:xfrm>
          <a:off x="4683858" y="8528538"/>
          <a:ext cx="1813657" cy="1139581"/>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495300</xdr:colOff>
      <xdr:row>59</xdr:row>
      <xdr:rowOff>25400</xdr:rowOff>
    </xdr:from>
    <xdr:to>
      <xdr:col>7</xdr:col>
      <xdr:colOff>139700</xdr:colOff>
      <xdr:row>63</xdr:row>
      <xdr:rowOff>127000</xdr:rowOff>
    </xdr:to>
    <xdr:sp macro="" textlink="">
      <xdr:nvSpPr>
        <xdr:cNvPr id="16" name="Rectangle: Rounded Corners 15">
          <a:extLst>
            <a:ext uri="{FF2B5EF4-FFF2-40B4-BE49-F238E27FC236}">
              <a16:creationId xmlns:a16="http://schemas.microsoft.com/office/drawing/2014/main" id="{00000000-0008-0000-0100-000010000000}"/>
            </a:ext>
          </a:extLst>
        </xdr:cNvPr>
        <xdr:cNvSpPr/>
      </xdr:nvSpPr>
      <xdr:spPr>
        <a:xfrm>
          <a:off x="2393950" y="10928350"/>
          <a:ext cx="2235200" cy="863600"/>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196850</xdr:colOff>
      <xdr:row>59</xdr:row>
      <xdr:rowOff>19050</xdr:rowOff>
    </xdr:from>
    <xdr:to>
      <xdr:col>10</xdr:col>
      <xdr:colOff>0</xdr:colOff>
      <xdr:row>63</xdr:row>
      <xdr:rowOff>146050</xdr:rowOff>
    </xdr:to>
    <xdr:sp macro="" textlink="">
      <xdr:nvSpPr>
        <xdr:cNvPr id="19" name="Rectangle: Rounded Corners 18">
          <a:extLst>
            <a:ext uri="{FF2B5EF4-FFF2-40B4-BE49-F238E27FC236}">
              <a16:creationId xmlns:a16="http://schemas.microsoft.com/office/drawing/2014/main" id="{00000000-0008-0000-0100-000013000000}"/>
            </a:ext>
          </a:extLst>
        </xdr:cNvPr>
        <xdr:cNvSpPr/>
      </xdr:nvSpPr>
      <xdr:spPr>
        <a:xfrm>
          <a:off x="4686300" y="10922000"/>
          <a:ext cx="1746250" cy="88900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7</xdr:col>
          <xdr:colOff>381000</xdr:colOff>
          <xdr:row>128</xdr:row>
          <xdr:rowOff>152400</xdr:rowOff>
        </xdr:from>
        <xdr:to>
          <xdr:col>10</xdr:col>
          <xdr:colOff>76200</xdr:colOff>
          <xdr:row>135</xdr:row>
          <xdr:rowOff>9525</xdr:rowOff>
        </xdr:to>
        <xdr:sp macro="" textlink="">
          <xdr:nvSpPr>
            <xdr:cNvPr id="1696" name="Group Box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129</xdr:row>
          <xdr:rowOff>180975</xdr:rowOff>
        </xdr:from>
        <xdr:to>
          <xdr:col>8</xdr:col>
          <xdr:colOff>266700</xdr:colOff>
          <xdr:row>131</xdr:row>
          <xdr:rowOff>9525</xdr:rowOff>
        </xdr:to>
        <xdr:sp macro="" textlink="">
          <xdr:nvSpPr>
            <xdr:cNvPr id="1701" name="Option 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130</xdr:row>
          <xdr:rowOff>171450</xdr:rowOff>
        </xdr:from>
        <xdr:to>
          <xdr:col>8</xdr:col>
          <xdr:colOff>276225</xdr:colOff>
          <xdr:row>132</xdr:row>
          <xdr:rowOff>9525</xdr:rowOff>
        </xdr:to>
        <xdr:sp macro="" textlink="">
          <xdr:nvSpPr>
            <xdr:cNvPr id="1702" name="Option 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138</xdr:row>
          <xdr:rowOff>161925</xdr:rowOff>
        </xdr:from>
        <xdr:to>
          <xdr:col>1</xdr:col>
          <xdr:colOff>5568</xdr:colOff>
          <xdr:row>140</xdr:row>
          <xdr:rowOff>0</xdr:rowOff>
        </xdr:to>
        <xdr:sp macro="" textlink="">
          <xdr:nvSpPr>
            <xdr:cNvPr id="1705" name="Check Box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140</xdr:row>
          <xdr:rowOff>190500</xdr:rowOff>
        </xdr:from>
        <xdr:to>
          <xdr:col>1</xdr:col>
          <xdr:colOff>9525</xdr:colOff>
          <xdr:row>142</xdr:row>
          <xdr:rowOff>19050</xdr:rowOff>
        </xdr:to>
        <xdr:sp macro="" textlink="">
          <xdr:nvSpPr>
            <xdr:cNvPr id="1707" name="Check Box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103</xdr:row>
          <xdr:rowOff>76200</xdr:rowOff>
        </xdr:from>
        <xdr:to>
          <xdr:col>10</xdr:col>
          <xdr:colOff>381000</xdr:colOff>
          <xdr:row>109</xdr:row>
          <xdr:rowOff>104775</xdr:rowOff>
        </xdr:to>
        <xdr:sp macro="" textlink="">
          <xdr:nvSpPr>
            <xdr:cNvPr id="1708" name="Group Box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684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628650</xdr:colOff>
          <xdr:row>104</xdr:row>
          <xdr:rowOff>9525</xdr:rowOff>
        </xdr:from>
        <xdr:to>
          <xdr:col>1</xdr:col>
          <xdr:colOff>9525</xdr:colOff>
          <xdr:row>105</xdr:row>
          <xdr:rowOff>38100</xdr:rowOff>
        </xdr:to>
        <xdr:sp macro="" textlink="">
          <xdr:nvSpPr>
            <xdr:cNvPr id="1709" name="Option 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628650</xdr:colOff>
          <xdr:row>104</xdr:row>
          <xdr:rowOff>0</xdr:rowOff>
        </xdr:from>
        <xdr:to>
          <xdr:col>4</xdr:col>
          <xdr:colOff>180975</xdr:colOff>
          <xdr:row>105</xdr:row>
          <xdr:rowOff>28575</xdr:rowOff>
        </xdr:to>
        <xdr:sp macro="" textlink="">
          <xdr:nvSpPr>
            <xdr:cNvPr id="1710" name="Option 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105</xdr:row>
          <xdr:rowOff>171450</xdr:rowOff>
        </xdr:from>
        <xdr:to>
          <xdr:col>4</xdr:col>
          <xdr:colOff>190500</xdr:colOff>
          <xdr:row>107</xdr:row>
          <xdr:rowOff>9525</xdr:rowOff>
        </xdr:to>
        <xdr:sp macro="" textlink="">
          <xdr:nvSpPr>
            <xdr:cNvPr id="1711" name="Option 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104</xdr:row>
          <xdr:rowOff>0</xdr:rowOff>
        </xdr:from>
        <xdr:to>
          <xdr:col>7</xdr:col>
          <xdr:colOff>581025</xdr:colOff>
          <xdr:row>105</xdr:row>
          <xdr:rowOff>28575</xdr:rowOff>
        </xdr:to>
        <xdr:sp macro="" textlink="">
          <xdr:nvSpPr>
            <xdr:cNvPr id="1712" name="Option 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105</xdr:row>
          <xdr:rowOff>161925</xdr:rowOff>
        </xdr:from>
        <xdr:to>
          <xdr:col>7</xdr:col>
          <xdr:colOff>590550</xdr:colOff>
          <xdr:row>107</xdr:row>
          <xdr:rowOff>0</xdr:rowOff>
        </xdr:to>
        <xdr:sp macro="" textlink="">
          <xdr:nvSpPr>
            <xdr:cNvPr id="1713" name="Option 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142</xdr:row>
          <xdr:rowOff>180975</xdr:rowOff>
        </xdr:from>
        <xdr:to>
          <xdr:col>1</xdr:col>
          <xdr:colOff>9525</xdr:colOff>
          <xdr:row>144</xdr:row>
          <xdr:rowOff>19050</xdr:rowOff>
        </xdr:to>
        <xdr:sp macro="" textlink="">
          <xdr:nvSpPr>
            <xdr:cNvPr id="1715" name="Check Box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147</xdr:row>
          <xdr:rowOff>0</xdr:rowOff>
        </xdr:from>
        <xdr:to>
          <xdr:col>1</xdr:col>
          <xdr:colOff>1905</xdr:colOff>
          <xdr:row>148</xdr:row>
          <xdr:rowOff>28575</xdr:rowOff>
        </xdr:to>
        <xdr:sp macro="" textlink="">
          <xdr:nvSpPr>
            <xdr:cNvPr id="1717" name="Check Box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29308</xdr:colOff>
      <xdr:row>65</xdr:row>
      <xdr:rowOff>127000</xdr:rowOff>
    </xdr:from>
    <xdr:to>
      <xdr:col>3</xdr:col>
      <xdr:colOff>444500</xdr:colOff>
      <xdr:row>69</xdr:row>
      <xdr:rowOff>146050</xdr:rowOff>
    </xdr:to>
    <xdr:sp macro="" textlink="">
      <xdr:nvSpPr>
        <xdr:cNvPr id="25" name="Rectangle: Rounded Corners 24">
          <a:extLst>
            <a:ext uri="{FF2B5EF4-FFF2-40B4-BE49-F238E27FC236}">
              <a16:creationId xmlns:a16="http://schemas.microsoft.com/office/drawing/2014/main" id="{00000000-0008-0000-0100-000019000000}"/>
            </a:ext>
          </a:extLst>
        </xdr:cNvPr>
        <xdr:cNvSpPr/>
      </xdr:nvSpPr>
      <xdr:spPr>
        <a:xfrm>
          <a:off x="29308" y="12582769"/>
          <a:ext cx="2349500" cy="795704"/>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514350</xdr:colOff>
      <xdr:row>65</xdr:row>
      <xdr:rowOff>152400</xdr:rowOff>
    </xdr:from>
    <xdr:to>
      <xdr:col>7</xdr:col>
      <xdr:colOff>158750</xdr:colOff>
      <xdr:row>69</xdr:row>
      <xdr:rowOff>146050</xdr:rowOff>
    </xdr:to>
    <xdr:sp macro="" textlink="">
      <xdr:nvSpPr>
        <xdr:cNvPr id="27" name="Rectangle: Rounded Corners 26">
          <a:extLst>
            <a:ext uri="{FF2B5EF4-FFF2-40B4-BE49-F238E27FC236}">
              <a16:creationId xmlns:a16="http://schemas.microsoft.com/office/drawing/2014/main" id="{00000000-0008-0000-0100-00001B000000}"/>
            </a:ext>
          </a:extLst>
        </xdr:cNvPr>
        <xdr:cNvSpPr/>
      </xdr:nvSpPr>
      <xdr:spPr>
        <a:xfrm>
          <a:off x="2413000" y="12198350"/>
          <a:ext cx="2235200" cy="78105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29308</xdr:colOff>
      <xdr:row>71</xdr:row>
      <xdr:rowOff>158750</xdr:rowOff>
    </xdr:from>
    <xdr:to>
      <xdr:col>3</xdr:col>
      <xdr:colOff>482600</xdr:colOff>
      <xdr:row>80</xdr:row>
      <xdr:rowOff>0</xdr:rowOff>
    </xdr:to>
    <xdr:sp macro="" textlink="">
      <xdr:nvSpPr>
        <xdr:cNvPr id="29" name="Rectangle: Rounded Corners 28">
          <a:extLst>
            <a:ext uri="{FF2B5EF4-FFF2-40B4-BE49-F238E27FC236}">
              <a16:creationId xmlns:a16="http://schemas.microsoft.com/office/drawing/2014/main" id="{00000000-0008-0000-0100-00001D000000}"/>
            </a:ext>
          </a:extLst>
        </xdr:cNvPr>
        <xdr:cNvSpPr/>
      </xdr:nvSpPr>
      <xdr:spPr>
        <a:xfrm>
          <a:off x="29308" y="13779500"/>
          <a:ext cx="2387600" cy="1599712"/>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558800</xdr:colOff>
      <xdr:row>71</xdr:row>
      <xdr:rowOff>171450</xdr:rowOff>
    </xdr:from>
    <xdr:to>
      <xdr:col>7</xdr:col>
      <xdr:colOff>152400</xdr:colOff>
      <xdr:row>80</xdr:row>
      <xdr:rowOff>0</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457450" y="13398500"/>
          <a:ext cx="2184400" cy="163195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7</xdr:col>
          <xdr:colOff>200025</xdr:colOff>
          <xdr:row>45</xdr:row>
          <xdr:rowOff>9525</xdr:rowOff>
        </xdr:from>
        <xdr:to>
          <xdr:col>7</xdr:col>
          <xdr:colOff>447675</xdr:colOff>
          <xdr:row>46</xdr:row>
          <xdr:rowOff>38100</xdr:rowOff>
        </xdr:to>
        <xdr:sp macro="" textlink="">
          <xdr:nvSpPr>
            <xdr:cNvPr id="1727" name="Option 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222250</xdr:colOff>
      <xdr:row>71</xdr:row>
      <xdr:rowOff>152400</xdr:rowOff>
    </xdr:from>
    <xdr:to>
      <xdr:col>9</xdr:col>
      <xdr:colOff>628650</xdr:colOff>
      <xdr:row>80</xdr:row>
      <xdr:rowOff>0</xdr:rowOff>
    </xdr:to>
    <xdr:sp macro="" textlink="">
      <xdr:nvSpPr>
        <xdr:cNvPr id="31" name="Rectangle: Rounded Corners 30">
          <a:extLst>
            <a:ext uri="{FF2B5EF4-FFF2-40B4-BE49-F238E27FC236}">
              <a16:creationId xmlns:a16="http://schemas.microsoft.com/office/drawing/2014/main" id="{00000000-0008-0000-0100-00001F000000}"/>
            </a:ext>
          </a:extLst>
        </xdr:cNvPr>
        <xdr:cNvSpPr/>
      </xdr:nvSpPr>
      <xdr:spPr>
        <a:xfrm>
          <a:off x="4711700" y="13379450"/>
          <a:ext cx="1701800" cy="161925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14654</xdr:colOff>
      <xdr:row>81</xdr:row>
      <xdr:rowOff>51289</xdr:rowOff>
    </xdr:from>
    <xdr:to>
      <xdr:col>3</xdr:col>
      <xdr:colOff>469900</xdr:colOff>
      <xdr:row>86</xdr:row>
      <xdr:rowOff>153866</xdr:rowOff>
    </xdr:to>
    <xdr:sp macro="" textlink="">
      <xdr:nvSpPr>
        <xdr:cNvPr id="32" name="Rectangle: Rounded Corners 31">
          <a:extLst>
            <a:ext uri="{FF2B5EF4-FFF2-40B4-BE49-F238E27FC236}">
              <a16:creationId xmlns:a16="http://schemas.microsoft.com/office/drawing/2014/main" id="{00000000-0008-0000-0100-000020000000}"/>
            </a:ext>
          </a:extLst>
        </xdr:cNvPr>
        <xdr:cNvSpPr/>
      </xdr:nvSpPr>
      <xdr:spPr>
        <a:xfrm>
          <a:off x="14654" y="15628327"/>
          <a:ext cx="2389554" cy="1069731"/>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539750</xdr:colOff>
      <xdr:row>81</xdr:row>
      <xdr:rowOff>65943</xdr:rowOff>
    </xdr:from>
    <xdr:to>
      <xdr:col>7</xdr:col>
      <xdr:colOff>133350</xdr:colOff>
      <xdr:row>86</xdr:row>
      <xdr:rowOff>124558</xdr:rowOff>
    </xdr:to>
    <xdr:sp macro="" textlink="">
      <xdr:nvSpPr>
        <xdr:cNvPr id="33" name="Rectangle: Rounded Corners 32">
          <a:extLst>
            <a:ext uri="{FF2B5EF4-FFF2-40B4-BE49-F238E27FC236}">
              <a16:creationId xmlns:a16="http://schemas.microsoft.com/office/drawing/2014/main" id="{00000000-0008-0000-0100-000021000000}"/>
            </a:ext>
          </a:extLst>
        </xdr:cNvPr>
        <xdr:cNvSpPr/>
      </xdr:nvSpPr>
      <xdr:spPr>
        <a:xfrm>
          <a:off x="2474058" y="15642981"/>
          <a:ext cx="2165350" cy="1025769"/>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209550</xdr:colOff>
      <xdr:row>81</xdr:row>
      <xdr:rowOff>95250</xdr:rowOff>
    </xdr:from>
    <xdr:to>
      <xdr:col>9</xdr:col>
      <xdr:colOff>641350</xdr:colOff>
      <xdr:row>86</xdr:row>
      <xdr:rowOff>139212</xdr:rowOff>
    </xdr:to>
    <xdr:sp macro="" textlink="">
      <xdr:nvSpPr>
        <xdr:cNvPr id="34" name="Rectangle: Rounded Corners 33">
          <a:extLst>
            <a:ext uri="{FF2B5EF4-FFF2-40B4-BE49-F238E27FC236}">
              <a16:creationId xmlns:a16="http://schemas.microsoft.com/office/drawing/2014/main" id="{00000000-0008-0000-0100-000022000000}"/>
            </a:ext>
          </a:extLst>
        </xdr:cNvPr>
        <xdr:cNvSpPr/>
      </xdr:nvSpPr>
      <xdr:spPr>
        <a:xfrm>
          <a:off x="4715608" y="15672288"/>
          <a:ext cx="1794607" cy="1011116"/>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3</xdr:col>
          <xdr:colOff>561975</xdr:colOff>
          <xdr:row>67</xdr:row>
          <xdr:rowOff>19050</xdr:rowOff>
        </xdr:from>
        <xdr:to>
          <xdr:col>4</xdr:col>
          <xdr:colOff>152400</xdr:colOff>
          <xdr:row>68</xdr:row>
          <xdr:rowOff>38100</xdr:rowOff>
        </xdr:to>
        <xdr:sp macro="" textlink="">
          <xdr:nvSpPr>
            <xdr:cNvPr id="1746" name="Option 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66</xdr:row>
          <xdr:rowOff>9525</xdr:rowOff>
        </xdr:from>
        <xdr:to>
          <xdr:col>1</xdr:col>
          <xdr:colOff>66675</xdr:colOff>
          <xdr:row>67</xdr:row>
          <xdr:rowOff>38100</xdr:rowOff>
        </xdr:to>
        <xdr:sp macro="" textlink="">
          <xdr:nvSpPr>
            <xdr:cNvPr id="1747" name="Option 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21981</xdr:colOff>
      <xdr:row>88</xdr:row>
      <xdr:rowOff>152400</xdr:rowOff>
    </xdr:from>
    <xdr:to>
      <xdr:col>3</xdr:col>
      <xdr:colOff>463550</xdr:colOff>
      <xdr:row>101</xdr:row>
      <xdr:rowOff>50800</xdr:rowOff>
    </xdr:to>
    <xdr:sp macro="" textlink="">
      <xdr:nvSpPr>
        <xdr:cNvPr id="35" name="Rectangle: Rounded Corners 34">
          <a:extLst>
            <a:ext uri="{FF2B5EF4-FFF2-40B4-BE49-F238E27FC236}">
              <a16:creationId xmlns:a16="http://schemas.microsoft.com/office/drawing/2014/main" id="{00000000-0008-0000-0100-000023000000}"/>
            </a:ext>
          </a:extLst>
        </xdr:cNvPr>
        <xdr:cNvSpPr/>
      </xdr:nvSpPr>
      <xdr:spPr>
        <a:xfrm>
          <a:off x="21981" y="17084919"/>
          <a:ext cx="2375877" cy="2389554"/>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533400</xdr:colOff>
      <xdr:row>88</xdr:row>
      <xdr:rowOff>107950</xdr:rowOff>
    </xdr:from>
    <xdr:to>
      <xdr:col>7</xdr:col>
      <xdr:colOff>241300</xdr:colOff>
      <xdr:row>101</xdr:row>
      <xdr:rowOff>12700</xdr:rowOff>
    </xdr:to>
    <xdr:sp macro="" textlink="">
      <xdr:nvSpPr>
        <xdr:cNvPr id="37" name="Rectangle: Rounded Corners 36">
          <a:extLst>
            <a:ext uri="{FF2B5EF4-FFF2-40B4-BE49-F238E27FC236}">
              <a16:creationId xmlns:a16="http://schemas.microsoft.com/office/drawing/2014/main" id="{00000000-0008-0000-0100-000025000000}"/>
            </a:ext>
          </a:extLst>
        </xdr:cNvPr>
        <xdr:cNvSpPr/>
      </xdr:nvSpPr>
      <xdr:spPr>
        <a:xfrm>
          <a:off x="2432050" y="16535400"/>
          <a:ext cx="2298700" cy="240665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285750</xdr:colOff>
      <xdr:row>88</xdr:row>
      <xdr:rowOff>101600</xdr:rowOff>
    </xdr:from>
    <xdr:to>
      <xdr:col>10</xdr:col>
      <xdr:colOff>12700</xdr:colOff>
      <xdr:row>101</xdr:row>
      <xdr:rowOff>38100</xdr:rowOff>
    </xdr:to>
    <xdr:sp macro="" textlink="">
      <xdr:nvSpPr>
        <xdr:cNvPr id="38" name="Rectangle: Rounded Corners 37">
          <a:extLst>
            <a:ext uri="{FF2B5EF4-FFF2-40B4-BE49-F238E27FC236}">
              <a16:creationId xmlns:a16="http://schemas.microsoft.com/office/drawing/2014/main" id="{00000000-0008-0000-0100-000026000000}"/>
            </a:ext>
          </a:extLst>
        </xdr:cNvPr>
        <xdr:cNvSpPr/>
      </xdr:nvSpPr>
      <xdr:spPr>
        <a:xfrm>
          <a:off x="4775200" y="16529050"/>
          <a:ext cx="1682750" cy="243840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7</xdr:col>
          <xdr:colOff>342900</xdr:colOff>
          <xdr:row>91</xdr:row>
          <xdr:rowOff>0</xdr:rowOff>
        </xdr:from>
        <xdr:to>
          <xdr:col>7</xdr:col>
          <xdr:colOff>542925</xdr:colOff>
          <xdr:row>92</xdr:row>
          <xdr:rowOff>28575</xdr:rowOff>
        </xdr:to>
        <xdr:sp macro="" textlink="">
          <xdr:nvSpPr>
            <xdr:cNvPr id="1751" name="Option 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628650</xdr:colOff>
          <xdr:row>90</xdr:row>
          <xdr:rowOff>190500</xdr:rowOff>
        </xdr:from>
        <xdr:to>
          <xdr:col>4</xdr:col>
          <xdr:colOff>180975</xdr:colOff>
          <xdr:row>92</xdr:row>
          <xdr:rowOff>19050</xdr:rowOff>
        </xdr:to>
        <xdr:sp macro="" textlink="">
          <xdr:nvSpPr>
            <xdr:cNvPr id="1756" name="Option 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21981</xdr:colOff>
      <xdr:row>103</xdr:row>
      <xdr:rowOff>127000</xdr:rowOff>
    </xdr:from>
    <xdr:to>
      <xdr:col>3</xdr:col>
      <xdr:colOff>450850</xdr:colOff>
      <xdr:row>109</xdr:row>
      <xdr:rowOff>76200</xdr:rowOff>
    </xdr:to>
    <xdr:sp macro="" textlink="">
      <xdr:nvSpPr>
        <xdr:cNvPr id="43" name="Rectangle: Rounded Corners 42">
          <a:extLst>
            <a:ext uri="{FF2B5EF4-FFF2-40B4-BE49-F238E27FC236}">
              <a16:creationId xmlns:a16="http://schemas.microsoft.com/office/drawing/2014/main" id="{00000000-0008-0000-0100-00002B000000}"/>
            </a:ext>
          </a:extLst>
        </xdr:cNvPr>
        <xdr:cNvSpPr/>
      </xdr:nvSpPr>
      <xdr:spPr>
        <a:xfrm>
          <a:off x="21981" y="19939000"/>
          <a:ext cx="2363177" cy="109220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558800</xdr:colOff>
      <xdr:row>103</xdr:row>
      <xdr:rowOff>127000</xdr:rowOff>
    </xdr:from>
    <xdr:to>
      <xdr:col>7</xdr:col>
      <xdr:colOff>184150</xdr:colOff>
      <xdr:row>109</xdr:row>
      <xdr:rowOff>88900</xdr:rowOff>
    </xdr:to>
    <xdr:sp macro="" textlink="">
      <xdr:nvSpPr>
        <xdr:cNvPr id="44" name="Rectangle: Rounded Corners 43">
          <a:extLst>
            <a:ext uri="{FF2B5EF4-FFF2-40B4-BE49-F238E27FC236}">
              <a16:creationId xmlns:a16="http://schemas.microsoft.com/office/drawing/2014/main" id="{00000000-0008-0000-0100-00002C000000}"/>
            </a:ext>
          </a:extLst>
        </xdr:cNvPr>
        <xdr:cNvSpPr/>
      </xdr:nvSpPr>
      <xdr:spPr>
        <a:xfrm>
          <a:off x="2457450" y="21920200"/>
          <a:ext cx="2216150" cy="110490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266700</xdr:colOff>
      <xdr:row>104</xdr:row>
      <xdr:rowOff>0</xdr:rowOff>
    </xdr:from>
    <xdr:to>
      <xdr:col>9</xdr:col>
      <xdr:colOff>622300</xdr:colOff>
      <xdr:row>109</xdr:row>
      <xdr:rowOff>88900</xdr:rowOff>
    </xdr:to>
    <xdr:sp macro="" textlink="">
      <xdr:nvSpPr>
        <xdr:cNvPr id="45" name="Rectangle: Rounded Corners 44">
          <a:extLst>
            <a:ext uri="{FF2B5EF4-FFF2-40B4-BE49-F238E27FC236}">
              <a16:creationId xmlns:a16="http://schemas.microsoft.com/office/drawing/2014/main" id="{00000000-0008-0000-0100-00002D000000}"/>
            </a:ext>
          </a:extLst>
        </xdr:cNvPr>
        <xdr:cNvSpPr/>
      </xdr:nvSpPr>
      <xdr:spPr>
        <a:xfrm>
          <a:off x="4756150" y="21983700"/>
          <a:ext cx="1651000" cy="104140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36636</xdr:colOff>
      <xdr:row>113</xdr:row>
      <xdr:rowOff>31750</xdr:rowOff>
    </xdr:from>
    <xdr:to>
      <xdr:col>10</xdr:col>
      <xdr:colOff>19051</xdr:colOff>
      <xdr:row>119</xdr:row>
      <xdr:rowOff>76200</xdr:rowOff>
    </xdr:to>
    <xdr:sp macro="" textlink="">
      <xdr:nvSpPr>
        <xdr:cNvPr id="46" name="Rectangle: Rounded Corners 45">
          <a:extLst>
            <a:ext uri="{FF2B5EF4-FFF2-40B4-BE49-F238E27FC236}">
              <a16:creationId xmlns:a16="http://schemas.microsoft.com/office/drawing/2014/main" id="{00000000-0008-0000-0100-00002E000000}"/>
            </a:ext>
          </a:extLst>
        </xdr:cNvPr>
        <xdr:cNvSpPr/>
      </xdr:nvSpPr>
      <xdr:spPr>
        <a:xfrm>
          <a:off x="36636" y="21726769"/>
          <a:ext cx="6496050" cy="1194777"/>
        </a:xfrm>
        <a:prstGeom prst="roundRect">
          <a:avLst>
            <a:gd name="adj" fmla="val 1114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36635</xdr:colOff>
      <xdr:row>119</xdr:row>
      <xdr:rowOff>127000</xdr:rowOff>
    </xdr:from>
    <xdr:to>
      <xdr:col>10</xdr:col>
      <xdr:colOff>12700</xdr:colOff>
      <xdr:row>127</xdr:row>
      <xdr:rowOff>38100</xdr:rowOff>
    </xdr:to>
    <xdr:sp macro="" textlink="">
      <xdr:nvSpPr>
        <xdr:cNvPr id="48" name="Rectangle: Rounded Corners 47">
          <a:extLst>
            <a:ext uri="{FF2B5EF4-FFF2-40B4-BE49-F238E27FC236}">
              <a16:creationId xmlns:a16="http://schemas.microsoft.com/office/drawing/2014/main" id="{00000000-0008-0000-0100-000030000000}"/>
            </a:ext>
          </a:extLst>
        </xdr:cNvPr>
        <xdr:cNvSpPr/>
      </xdr:nvSpPr>
      <xdr:spPr>
        <a:xfrm>
          <a:off x="36635" y="22972346"/>
          <a:ext cx="6489700" cy="1442427"/>
        </a:xfrm>
        <a:prstGeom prst="roundRect">
          <a:avLst>
            <a:gd name="adj" fmla="val 1057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44450</xdr:colOff>
      <xdr:row>127</xdr:row>
      <xdr:rowOff>107950</xdr:rowOff>
    </xdr:from>
    <xdr:to>
      <xdr:col>10</xdr:col>
      <xdr:colOff>12700</xdr:colOff>
      <xdr:row>135</xdr:row>
      <xdr:rowOff>69850</xdr:rowOff>
    </xdr:to>
    <xdr:sp macro="" textlink="">
      <xdr:nvSpPr>
        <xdr:cNvPr id="49" name="Rectangle: Rounded Corners 48">
          <a:extLst>
            <a:ext uri="{FF2B5EF4-FFF2-40B4-BE49-F238E27FC236}">
              <a16:creationId xmlns:a16="http://schemas.microsoft.com/office/drawing/2014/main" id="{00000000-0008-0000-0100-000031000000}"/>
            </a:ext>
          </a:extLst>
        </xdr:cNvPr>
        <xdr:cNvSpPr/>
      </xdr:nvSpPr>
      <xdr:spPr>
        <a:xfrm>
          <a:off x="44450" y="24587200"/>
          <a:ext cx="6502400" cy="1511300"/>
        </a:xfrm>
        <a:prstGeom prst="roundRect">
          <a:avLst>
            <a:gd name="adj" fmla="val 9524"/>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0</xdr:col>
          <xdr:colOff>628650</xdr:colOff>
          <xdr:row>81</xdr:row>
          <xdr:rowOff>171450</xdr:rowOff>
        </xdr:from>
        <xdr:to>
          <xdr:col>1</xdr:col>
          <xdr:colOff>38100</xdr:colOff>
          <xdr:row>83</xdr:row>
          <xdr:rowOff>28575</xdr:rowOff>
        </xdr:to>
        <xdr:sp macro="" textlink="">
          <xdr:nvSpPr>
            <xdr:cNvPr id="1767" name="Option 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129</xdr:row>
          <xdr:rowOff>9525</xdr:rowOff>
        </xdr:from>
        <xdr:to>
          <xdr:col>5</xdr:col>
          <xdr:colOff>38100</xdr:colOff>
          <xdr:row>130</xdr:row>
          <xdr:rowOff>28575</xdr:rowOff>
        </xdr:to>
        <xdr:sp macro="" textlink="">
          <xdr:nvSpPr>
            <xdr:cNvPr id="1773" name="Option 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129</xdr:row>
          <xdr:rowOff>190500</xdr:rowOff>
        </xdr:from>
        <xdr:to>
          <xdr:col>5</xdr:col>
          <xdr:colOff>47625</xdr:colOff>
          <xdr:row>131</xdr:row>
          <xdr:rowOff>19050</xdr:rowOff>
        </xdr:to>
        <xdr:sp macro="" textlink="">
          <xdr:nvSpPr>
            <xdr:cNvPr id="1775" name="Option 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128</xdr:row>
          <xdr:rowOff>180975</xdr:rowOff>
        </xdr:from>
        <xdr:to>
          <xdr:col>8</xdr:col>
          <xdr:colOff>266700</xdr:colOff>
          <xdr:row>130</xdr:row>
          <xdr:rowOff>0</xdr:rowOff>
        </xdr:to>
        <xdr:sp macro="" textlink="">
          <xdr:nvSpPr>
            <xdr:cNvPr id="1776" name="Option 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65</xdr:row>
          <xdr:rowOff>161925</xdr:rowOff>
        </xdr:from>
        <xdr:to>
          <xdr:col>9</xdr:col>
          <xdr:colOff>485775</xdr:colOff>
          <xdr:row>69</xdr:row>
          <xdr:rowOff>180975</xdr:rowOff>
        </xdr:to>
        <xdr:sp macro="" textlink="">
          <xdr:nvSpPr>
            <xdr:cNvPr id="1777" name="Group Box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753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647700</xdr:colOff>
          <xdr:row>68</xdr:row>
          <xdr:rowOff>0</xdr:rowOff>
        </xdr:from>
        <xdr:to>
          <xdr:col>1</xdr:col>
          <xdr:colOff>66675</xdr:colOff>
          <xdr:row>69</xdr:row>
          <xdr:rowOff>19050</xdr:rowOff>
        </xdr:to>
        <xdr:sp macro="" textlink="">
          <xdr:nvSpPr>
            <xdr:cNvPr id="1779" name="Option 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90</xdr:row>
          <xdr:rowOff>0</xdr:rowOff>
        </xdr:from>
        <xdr:to>
          <xdr:col>1</xdr:col>
          <xdr:colOff>5568</xdr:colOff>
          <xdr:row>91</xdr:row>
          <xdr:rowOff>28575</xdr:rowOff>
        </xdr:to>
        <xdr:sp macro="" textlink="">
          <xdr:nvSpPr>
            <xdr:cNvPr id="1781" name="Option 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90</xdr:row>
          <xdr:rowOff>180975</xdr:rowOff>
        </xdr:from>
        <xdr:to>
          <xdr:col>1</xdr:col>
          <xdr:colOff>5568</xdr:colOff>
          <xdr:row>92</xdr:row>
          <xdr:rowOff>19050</xdr:rowOff>
        </xdr:to>
        <xdr:sp macro="" textlink="">
          <xdr:nvSpPr>
            <xdr:cNvPr id="1782" name="Option 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91</xdr:row>
          <xdr:rowOff>171450</xdr:rowOff>
        </xdr:from>
        <xdr:to>
          <xdr:col>1</xdr:col>
          <xdr:colOff>5568</xdr:colOff>
          <xdr:row>93</xdr:row>
          <xdr:rowOff>0</xdr:rowOff>
        </xdr:to>
        <xdr:sp macro="" textlink="">
          <xdr:nvSpPr>
            <xdr:cNvPr id="1783" name="Option 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91</xdr:row>
          <xdr:rowOff>180975</xdr:rowOff>
        </xdr:from>
        <xdr:to>
          <xdr:col>4</xdr:col>
          <xdr:colOff>171450</xdr:colOff>
          <xdr:row>93</xdr:row>
          <xdr:rowOff>0</xdr:rowOff>
        </xdr:to>
        <xdr:sp macro="" textlink="">
          <xdr:nvSpPr>
            <xdr:cNvPr id="1790" name="Option 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92</xdr:row>
          <xdr:rowOff>180975</xdr:rowOff>
        </xdr:from>
        <xdr:to>
          <xdr:col>4</xdr:col>
          <xdr:colOff>171450</xdr:colOff>
          <xdr:row>94</xdr:row>
          <xdr:rowOff>0</xdr:rowOff>
        </xdr:to>
        <xdr:sp macro="" textlink="">
          <xdr:nvSpPr>
            <xdr:cNvPr id="1792" name="Option 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93</xdr:row>
          <xdr:rowOff>180975</xdr:rowOff>
        </xdr:from>
        <xdr:to>
          <xdr:col>4</xdr:col>
          <xdr:colOff>171450</xdr:colOff>
          <xdr:row>95</xdr:row>
          <xdr:rowOff>9525</xdr:rowOff>
        </xdr:to>
        <xdr:sp macro="" textlink="">
          <xdr:nvSpPr>
            <xdr:cNvPr id="1794" name="Option 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94</xdr:row>
          <xdr:rowOff>180975</xdr:rowOff>
        </xdr:from>
        <xdr:to>
          <xdr:col>4</xdr:col>
          <xdr:colOff>171450</xdr:colOff>
          <xdr:row>96</xdr:row>
          <xdr:rowOff>9525</xdr:rowOff>
        </xdr:to>
        <xdr:sp macro="" textlink="">
          <xdr:nvSpPr>
            <xdr:cNvPr id="1796" name="Option 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94</xdr:row>
          <xdr:rowOff>180975</xdr:rowOff>
        </xdr:from>
        <xdr:to>
          <xdr:col>4</xdr:col>
          <xdr:colOff>171450</xdr:colOff>
          <xdr:row>96</xdr:row>
          <xdr:rowOff>9525</xdr:rowOff>
        </xdr:to>
        <xdr:sp macro="" textlink="">
          <xdr:nvSpPr>
            <xdr:cNvPr id="1797" name="Option 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89</xdr:row>
          <xdr:rowOff>9525</xdr:rowOff>
        </xdr:from>
        <xdr:to>
          <xdr:col>1</xdr:col>
          <xdr:colOff>1905</xdr:colOff>
          <xdr:row>90</xdr:row>
          <xdr:rowOff>38100</xdr:rowOff>
        </xdr:to>
        <xdr:sp macro="" textlink="">
          <xdr:nvSpPr>
            <xdr:cNvPr id="1800" name="Option 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390525</xdr:colOff>
          <xdr:row>88</xdr:row>
          <xdr:rowOff>66675</xdr:rowOff>
        </xdr:from>
        <xdr:to>
          <xdr:col>10</xdr:col>
          <xdr:colOff>676275</xdr:colOff>
          <xdr:row>102</xdr:row>
          <xdr:rowOff>95250</xdr:rowOff>
        </xdr:to>
        <xdr:sp macro="" textlink="">
          <xdr:nvSpPr>
            <xdr:cNvPr id="1801" name="Group Box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777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94</xdr:row>
          <xdr:rowOff>180975</xdr:rowOff>
        </xdr:from>
        <xdr:to>
          <xdr:col>4</xdr:col>
          <xdr:colOff>171450</xdr:colOff>
          <xdr:row>96</xdr:row>
          <xdr:rowOff>9525</xdr:rowOff>
        </xdr:to>
        <xdr:sp macro="" textlink="">
          <xdr:nvSpPr>
            <xdr:cNvPr id="1802" name="Option 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95</xdr:row>
          <xdr:rowOff>180975</xdr:rowOff>
        </xdr:from>
        <xdr:to>
          <xdr:col>4</xdr:col>
          <xdr:colOff>171450</xdr:colOff>
          <xdr:row>97</xdr:row>
          <xdr:rowOff>9525</xdr:rowOff>
        </xdr:to>
        <xdr:sp macro="" textlink="">
          <xdr:nvSpPr>
            <xdr:cNvPr id="1804" name="Option 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95</xdr:row>
          <xdr:rowOff>180975</xdr:rowOff>
        </xdr:from>
        <xdr:to>
          <xdr:col>4</xdr:col>
          <xdr:colOff>171450</xdr:colOff>
          <xdr:row>97</xdr:row>
          <xdr:rowOff>9525</xdr:rowOff>
        </xdr:to>
        <xdr:sp macro="" textlink="">
          <xdr:nvSpPr>
            <xdr:cNvPr id="1805" name="Option 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95</xdr:row>
          <xdr:rowOff>180975</xdr:rowOff>
        </xdr:from>
        <xdr:to>
          <xdr:col>4</xdr:col>
          <xdr:colOff>171450</xdr:colOff>
          <xdr:row>97</xdr:row>
          <xdr:rowOff>9525</xdr:rowOff>
        </xdr:to>
        <xdr:sp macro="" textlink="">
          <xdr:nvSpPr>
            <xdr:cNvPr id="1806" name="Option 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96</xdr:row>
          <xdr:rowOff>180975</xdr:rowOff>
        </xdr:from>
        <xdr:to>
          <xdr:col>4</xdr:col>
          <xdr:colOff>171450</xdr:colOff>
          <xdr:row>98</xdr:row>
          <xdr:rowOff>9525</xdr:rowOff>
        </xdr:to>
        <xdr:sp macro="" textlink="">
          <xdr:nvSpPr>
            <xdr:cNvPr id="1808" name="Option 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96</xdr:row>
          <xdr:rowOff>180975</xdr:rowOff>
        </xdr:from>
        <xdr:to>
          <xdr:col>4</xdr:col>
          <xdr:colOff>171450</xdr:colOff>
          <xdr:row>98</xdr:row>
          <xdr:rowOff>9525</xdr:rowOff>
        </xdr:to>
        <xdr:sp macro="" textlink="">
          <xdr:nvSpPr>
            <xdr:cNvPr id="1809" name="Option 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96</xdr:row>
          <xdr:rowOff>180975</xdr:rowOff>
        </xdr:from>
        <xdr:to>
          <xdr:col>4</xdr:col>
          <xdr:colOff>171450</xdr:colOff>
          <xdr:row>98</xdr:row>
          <xdr:rowOff>9525</xdr:rowOff>
        </xdr:to>
        <xdr:sp macro="" textlink="">
          <xdr:nvSpPr>
            <xdr:cNvPr id="1810" name="Option 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97</xdr:row>
          <xdr:rowOff>180975</xdr:rowOff>
        </xdr:from>
        <xdr:to>
          <xdr:col>4</xdr:col>
          <xdr:colOff>171450</xdr:colOff>
          <xdr:row>99</xdr:row>
          <xdr:rowOff>0</xdr:rowOff>
        </xdr:to>
        <xdr:sp macro="" textlink="">
          <xdr:nvSpPr>
            <xdr:cNvPr id="1812" name="Option 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97</xdr:row>
          <xdr:rowOff>180975</xdr:rowOff>
        </xdr:from>
        <xdr:to>
          <xdr:col>4</xdr:col>
          <xdr:colOff>171450</xdr:colOff>
          <xdr:row>99</xdr:row>
          <xdr:rowOff>0</xdr:rowOff>
        </xdr:to>
        <xdr:sp macro="" textlink="">
          <xdr:nvSpPr>
            <xdr:cNvPr id="1813" name="Option 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97</xdr:row>
          <xdr:rowOff>180975</xdr:rowOff>
        </xdr:from>
        <xdr:to>
          <xdr:col>4</xdr:col>
          <xdr:colOff>171450</xdr:colOff>
          <xdr:row>99</xdr:row>
          <xdr:rowOff>0</xdr:rowOff>
        </xdr:to>
        <xdr:sp macro="" textlink="">
          <xdr:nvSpPr>
            <xdr:cNvPr id="1814" name="Option 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97</xdr:row>
          <xdr:rowOff>180975</xdr:rowOff>
        </xdr:from>
        <xdr:to>
          <xdr:col>4</xdr:col>
          <xdr:colOff>171450</xdr:colOff>
          <xdr:row>99</xdr:row>
          <xdr:rowOff>0</xdr:rowOff>
        </xdr:to>
        <xdr:sp macro="" textlink="">
          <xdr:nvSpPr>
            <xdr:cNvPr id="1815" name="Option 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97</xdr:row>
          <xdr:rowOff>180975</xdr:rowOff>
        </xdr:from>
        <xdr:to>
          <xdr:col>4</xdr:col>
          <xdr:colOff>171450</xdr:colOff>
          <xdr:row>99</xdr:row>
          <xdr:rowOff>0</xdr:rowOff>
        </xdr:to>
        <xdr:sp macro="" textlink="">
          <xdr:nvSpPr>
            <xdr:cNvPr id="1816" name="Option 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97</xdr:row>
          <xdr:rowOff>180975</xdr:rowOff>
        </xdr:from>
        <xdr:to>
          <xdr:col>4</xdr:col>
          <xdr:colOff>171450</xdr:colOff>
          <xdr:row>99</xdr:row>
          <xdr:rowOff>0</xdr:rowOff>
        </xdr:to>
        <xdr:sp macro="" textlink="">
          <xdr:nvSpPr>
            <xdr:cNvPr id="1817" name="Option 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97</xdr:row>
          <xdr:rowOff>180975</xdr:rowOff>
        </xdr:from>
        <xdr:to>
          <xdr:col>4</xdr:col>
          <xdr:colOff>171450</xdr:colOff>
          <xdr:row>99</xdr:row>
          <xdr:rowOff>0</xdr:rowOff>
        </xdr:to>
        <xdr:sp macro="" textlink="">
          <xdr:nvSpPr>
            <xdr:cNvPr id="1818" name="Option 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98</xdr:row>
          <xdr:rowOff>180975</xdr:rowOff>
        </xdr:from>
        <xdr:to>
          <xdr:col>4</xdr:col>
          <xdr:colOff>171450</xdr:colOff>
          <xdr:row>100</xdr:row>
          <xdr:rowOff>0</xdr:rowOff>
        </xdr:to>
        <xdr:sp macro="" textlink="">
          <xdr:nvSpPr>
            <xdr:cNvPr id="1820" name="Option 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98</xdr:row>
          <xdr:rowOff>180975</xdr:rowOff>
        </xdr:from>
        <xdr:to>
          <xdr:col>4</xdr:col>
          <xdr:colOff>171450</xdr:colOff>
          <xdr:row>100</xdr:row>
          <xdr:rowOff>0</xdr:rowOff>
        </xdr:to>
        <xdr:sp macro="" textlink="">
          <xdr:nvSpPr>
            <xdr:cNvPr id="1821" name="Option 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98</xdr:row>
          <xdr:rowOff>180975</xdr:rowOff>
        </xdr:from>
        <xdr:to>
          <xdr:col>4</xdr:col>
          <xdr:colOff>171450</xdr:colOff>
          <xdr:row>100</xdr:row>
          <xdr:rowOff>0</xdr:rowOff>
        </xdr:to>
        <xdr:sp macro="" textlink="">
          <xdr:nvSpPr>
            <xdr:cNvPr id="1822" name="Option 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98</xdr:row>
          <xdr:rowOff>180975</xdr:rowOff>
        </xdr:from>
        <xdr:to>
          <xdr:col>4</xdr:col>
          <xdr:colOff>171450</xdr:colOff>
          <xdr:row>100</xdr:row>
          <xdr:rowOff>0</xdr:rowOff>
        </xdr:to>
        <xdr:sp macro="" textlink="">
          <xdr:nvSpPr>
            <xdr:cNvPr id="1823" name="Option 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98</xdr:row>
          <xdr:rowOff>180975</xdr:rowOff>
        </xdr:from>
        <xdr:to>
          <xdr:col>4</xdr:col>
          <xdr:colOff>171450</xdr:colOff>
          <xdr:row>100</xdr:row>
          <xdr:rowOff>0</xdr:rowOff>
        </xdr:to>
        <xdr:sp macro="" textlink="">
          <xdr:nvSpPr>
            <xdr:cNvPr id="1824" name="Option 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98</xdr:row>
          <xdr:rowOff>180975</xdr:rowOff>
        </xdr:from>
        <xdr:to>
          <xdr:col>4</xdr:col>
          <xdr:colOff>171450</xdr:colOff>
          <xdr:row>100</xdr:row>
          <xdr:rowOff>0</xdr:rowOff>
        </xdr:to>
        <xdr:sp macro="" textlink="">
          <xdr:nvSpPr>
            <xdr:cNvPr id="1825" name="Option 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98</xdr:row>
          <xdr:rowOff>180975</xdr:rowOff>
        </xdr:from>
        <xdr:to>
          <xdr:col>4</xdr:col>
          <xdr:colOff>171450</xdr:colOff>
          <xdr:row>100</xdr:row>
          <xdr:rowOff>0</xdr:rowOff>
        </xdr:to>
        <xdr:sp macro="" textlink="">
          <xdr:nvSpPr>
            <xdr:cNvPr id="1826" name="Option 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136</xdr:row>
          <xdr:rowOff>180975</xdr:rowOff>
        </xdr:from>
        <xdr:to>
          <xdr:col>5</xdr:col>
          <xdr:colOff>161925</xdr:colOff>
          <xdr:row>138</xdr:row>
          <xdr:rowOff>0</xdr:rowOff>
        </xdr:to>
        <xdr:sp macro="" textlink="">
          <xdr:nvSpPr>
            <xdr:cNvPr id="1833" name="Check Box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14</xdr:row>
          <xdr:rowOff>180975</xdr:rowOff>
        </xdr:from>
        <xdr:to>
          <xdr:col>1</xdr:col>
          <xdr:colOff>19050</xdr:colOff>
          <xdr:row>16</xdr:row>
          <xdr:rowOff>19050</xdr:rowOff>
        </xdr:to>
        <xdr:sp macro="" textlink="">
          <xdr:nvSpPr>
            <xdr:cNvPr id="1845" name="Option Button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16</xdr:row>
          <xdr:rowOff>180975</xdr:rowOff>
        </xdr:from>
        <xdr:to>
          <xdr:col>1</xdr:col>
          <xdr:colOff>19050</xdr:colOff>
          <xdr:row>18</xdr:row>
          <xdr:rowOff>19050</xdr:rowOff>
        </xdr:to>
        <xdr:sp macro="" textlink="">
          <xdr:nvSpPr>
            <xdr:cNvPr id="1848" name="Option Button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17</xdr:row>
          <xdr:rowOff>180975</xdr:rowOff>
        </xdr:from>
        <xdr:to>
          <xdr:col>1</xdr:col>
          <xdr:colOff>19050</xdr:colOff>
          <xdr:row>19</xdr:row>
          <xdr:rowOff>19050</xdr:rowOff>
        </xdr:to>
        <xdr:sp macro="" textlink="">
          <xdr:nvSpPr>
            <xdr:cNvPr id="1849" name="Option Button 825" hidden="1">
              <a:extLst>
                <a:ext uri="{63B3BB69-23CF-44E3-9099-C40C66FF867C}">
                  <a14:compatExt spid="_x0000_s1849"/>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18</xdr:row>
          <xdr:rowOff>180975</xdr:rowOff>
        </xdr:from>
        <xdr:to>
          <xdr:col>1</xdr:col>
          <xdr:colOff>19050</xdr:colOff>
          <xdr:row>20</xdr:row>
          <xdr:rowOff>19050</xdr:rowOff>
        </xdr:to>
        <xdr:sp macro="" textlink="">
          <xdr:nvSpPr>
            <xdr:cNvPr id="1850" name="Option Button 826" hidden="1">
              <a:extLst>
                <a:ext uri="{63B3BB69-23CF-44E3-9099-C40C66FF867C}">
                  <a14:compatExt spid="_x0000_s1850"/>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16</xdr:row>
          <xdr:rowOff>0</xdr:rowOff>
        </xdr:from>
        <xdr:to>
          <xdr:col>1</xdr:col>
          <xdr:colOff>28575</xdr:colOff>
          <xdr:row>17</xdr:row>
          <xdr:rowOff>38100</xdr:rowOff>
        </xdr:to>
        <xdr:sp macro="" textlink="">
          <xdr:nvSpPr>
            <xdr:cNvPr id="1853" name="Option Button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20</xdr:row>
          <xdr:rowOff>0</xdr:rowOff>
        </xdr:from>
        <xdr:to>
          <xdr:col>1</xdr:col>
          <xdr:colOff>19050</xdr:colOff>
          <xdr:row>21</xdr:row>
          <xdr:rowOff>28575</xdr:rowOff>
        </xdr:to>
        <xdr:sp macro="" textlink="">
          <xdr:nvSpPr>
            <xdr:cNvPr id="1857" name="Option Button 833" hidden="1">
              <a:extLst>
                <a:ext uri="{63B3BB69-23CF-44E3-9099-C40C66FF867C}">
                  <a14:compatExt spid="_x0000_s1857"/>
                </a:ext>
                <a:ext uri="{FF2B5EF4-FFF2-40B4-BE49-F238E27FC236}">
                  <a16:creationId xmlns:a16="http://schemas.microsoft.com/office/drawing/2014/main" id="{00000000-0008-0000-0100-00004107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20</xdr:row>
          <xdr:rowOff>161925</xdr:rowOff>
        </xdr:from>
        <xdr:to>
          <xdr:col>1</xdr:col>
          <xdr:colOff>5568</xdr:colOff>
          <xdr:row>22</xdr:row>
          <xdr:rowOff>0</xdr:rowOff>
        </xdr:to>
        <xdr:sp macro="" textlink="">
          <xdr:nvSpPr>
            <xdr:cNvPr id="1858" name="Option Button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561975</xdr:colOff>
          <xdr:row>33</xdr:row>
          <xdr:rowOff>171450</xdr:rowOff>
        </xdr:from>
        <xdr:to>
          <xdr:col>8</xdr:col>
          <xdr:colOff>114300</xdr:colOff>
          <xdr:row>35</xdr:row>
          <xdr:rowOff>9525</xdr:rowOff>
        </xdr:to>
        <xdr:sp macro="" textlink="">
          <xdr:nvSpPr>
            <xdr:cNvPr id="1861" name="Option Button 837" hidden="1">
              <a:extLst>
                <a:ext uri="{63B3BB69-23CF-44E3-9099-C40C66FF867C}">
                  <a14:compatExt spid="_x0000_s1861"/>
                </a:ext>
                <a:ext uri="{FF2B5EF4-FFF2-40B4-BE49-F238E27FC236}">
                  <a16:creationId xmlns:a16="http://schemas.microsoft.com/office/drawing/2014/main" id="{00000000-0008-0000-0100-00004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33</xdr:row>
          <xdr:rowOff>180975</xdr:rowOff>
        </xdr:from>
        <xdr:to>
          <xdr:col>6</xdr:col>
          <xdr:colOff>114300</xdr:colOff>
          <xdr:row>35</xdr:row>
          <xdr:rowOff>19050</xdr:rowOff>
        </xdr:to>
        <xdr:sp macro="" textlink="">
          <xdr:nvSpPr>
            <xdr:cNvPr id="1864" name="Option Button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34</xdr:row>
          <xdr:rowOff>0</xdr:rowOff>
        </xdr:from>
        <xdr:to>
          <xdr:col>9</xdr:col>
          <xdr:colOff>38100</xdr:colOff>
          <xdr:row>35</xdr:row>
          <xdr:rowOff>28575</xdr:rowOff>
        </xdr:to>
        <xdr:sp macro="" textlink="">
          <xdr:nvSpPr>
            <xdr:cNvPr id="1865" name="Option Button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46</xdr:row>
          <xdr:rowOff>161925</xdr:rowOff>
        </xdr:from>
        <xdr:to>
          <xdr:col>4</xdr:col>
          <xdr:colOff>200025</xdr:colOff>
          <xdr:row>48</xdr:row>
          <xdr:rowOff>9525</xdr:rowOff>
        </xdr:to>
        <xdr:sp macro="" textlink="">
          <xdr:nvSpPr>
            <xdr:cNvPr id="1866" name="Option Button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26</xdr:row>
          <xdr:rowOff>123825</xdr:rowOff>
        </xdr:from>
        <xdr:to>
          <xdr:col>8</xdr:col>
          <xdr:colOff>38100</xdr:colOff>
          <xdr:row>31</xdr:row>
          <xdr:rowOff>38100</xdr:rowOff>
        </xdr:to>
        <xdr:sp macro="" textlink="">
          <xdr:nvSpPr>
            <xdr:cNvPr id="1867" name="Group Box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843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33</xdr:row>
          <xdr:rowOff>171450</xdr:rowOff>
        </xdr:from>
        <xdr:to>
          <xdr:col>10</xdr:col>
          <xdr:colOff>381000</xdr:colOff>
          <xdr:row>37</xdr:row>
          <xdr:rowOff>104775</xdr:rowOff>
        </xdr:to>
        <xdr:sp macro="" textlink="">
          <xdr:nvSpPr>
            <xdr:cNvPr id="1869" name="Group Box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845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35</xdr:row>
          <xdr:rowOff>171450</xdr:rowOff>
        </xdr:from>
        <xdr:to>
          <xdr:col>0</xdr:col>
          <xdr:colOff>800100</xdr:colOff>
          <xdr:row>37</xdr:row>
          <xdr:rowOff>0</xdr:rowOff>
        </xdr:to>
        <xdr:sp macro="" textlink="">
          <xdr:nvSpPr>
            <xdr:cNvPr id="1870" name="Option Button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46</xdr:row>
          <xdr:rowOff>0</xdr:rowOff>
        </xdr:from>
        <xdr:to>
          <xdr:col>7</xdr:col>
          <xdr:colOff>447675</xdr:colOff>
          <xdr:row>47</xdr:row>
          <xdr:rowOff>28575</xdr:rowOff>
        </xdr:to>
        <xdr:sp macro="" textlink="">
          <xdr:nvSpPr>
            <xdr:cNvPr id="1872" name="Option Button 848" hidden="1">
              <a:extLst>
                <a:ext uri="{63B3BB69-23CF-44E3-9099-C40C66FF867C}">
                  <a14:compatExt spid="_x0000_s1872"/>
                </a:ext>
                <a:ext uri="{FF2B5EF4-FFF2-40B4-BE49-F238E27FC236}">
                  <a16:creationId xmlns:a16="http://schemas.microsoft.com/office/drawing/2014/main" id="{00000000-0008-0000-0100-00005007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22</xdr:row>
          <xdr:rowOff>171450</xdr:rowOff>
        </xdr:from>
        <xdr:to>
          <xdr:col>1</xdr:col>
          <xdr:colOff>9525</xdr:colOff>
          <xdr:row>24</xdr:row>
          <xdr:rowOff>9525</xdr:rowOff>
        </xdr:to>
        <xdr:sp macro="" textlink="">
          <xdr:nvSpPr>
            <xdr:cNvPr id="1875" name="Option Button 851" hidden="1">
              <a:extLst>
                <a:ext uri="{63B3BB69-23CF-44E3-9099-C40C66FF867C}">
                  <a14:compatExt spid="_x0000_s1875"/>
                </a:ext>
                <a:ext uri="{FF2B5EF4-FFF2-40B4-BE49-F238E27FC236}">
                  <a16:creationId xmlns:a16="http://schemas.microsoft.com/office/drawing/2014/main" id="{00000000-0008-0000-0100-00005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14</xdr:row>
          <xdr:rowOff>95250</xdr:rowOff>
        </xdr:from>
        <xdr:to>
          <xdr:col>10</xdr:col>
          <xdr:colOff>428625</xdr:colOff>
          <xdr:row>24</xdr:row>
          <xdr:rowOff>38100</xdr:rowOff>
        </xdr:to>
        <xdr:sp macro="" textlink="">
          <xdr:nvSpPr>
            <xdr:cNvPr id="1877" name="Group Box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853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47625</xdr:rowOff>
        </xdr:from>
        <xdr:to>
          <xdr:col>6</xdr:col>
          <xdr:colOff>304800</xdr:colOff>
          <xdr:row>14</xdr:row>
          <xdr:rowOff>95250</xdr:rowOff>
        </xdr:to>
        <xdr:sp macro="" textlink="">
          <xdr:nvSpPr>
            <xdr:cNvPr id="1878" name="Group Box 854" hidden="1">
              <a:extLst>
                <a:ext uri="{63B3BB69-23CF-44E3-9099-C40C66FF867C}">
                  <a14:compatExt spid="_x0000_s1878"/>
                </a:ext>
                <a:ext uri="{FF2B5EF4-FFF2-40B4-BE49-F238E27FC236}">
                  <a16:creationId xmlns:a16="http://schemas.microsoft.com/office/drawing/2014/main" id="{00000000-0008-0000-0100-000056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854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66</xdr:row>
          <xdr:rowOff>9525</xdr:rowOff>
        </xdr:from>
        <xdr:to>
          <xdr:col>4</xdr:col>
          <xdr:colOff>142875</xdr:colOff>
          <xdr:row>67</xdr:row>
          <xdr:rowOff>47625</xdr:rowOff>
        </xdr:to>
        <xdr:sp macro="" textlink="">
          <xdr:nvSpPr>
            <xdr:cNvPr id="1881" name="Option Button 857" hidden="1">
              <a:extLst>
                <a:ext uri="{63B3BB69-23CF-44E3-9099-C40C66FF867C}">
                  <a14:compatExt spid="_x0000_s1881"/>
                </a:ext>
                <a:ext uri="{FF2B5EF4-FFF2-40B4-BE49-F238E27FC236}">
                  <a16:creationId xmlns:a16="http://schemas.microsoft.com/office/drawing/2014/main" id="{00000000-0008-0000-0100-00005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82</xdr:row>
          <xdr:rowOff>180975</xdr:rowOff>
        </xdr:from>
        <xdr:to>
          <xdr:col>4</xdr:col>
          <xdr:colOff>219075</xdr:colOff>
          <xdr:row>84</xdr:row>
          <xdr:rowOff>47625</xdr:rowOff>
        </xdr:to>
        <xdr:sp macro="" textlink="">
          <xdr:nvSpPr>
            <xdr:cNvPr id="1889" name="Option Button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114</xdr:row>
          <xdr:rowOff>180975</xdr:rowOff>
        </xdr:from>
        <xdr:to>
          <xdr:col>8</xdr:col>
          <xdr:colOff>257175</xdr:colOff>
          <xdr:row>116</xdr:row>
          <xdr:rowOff>19050</xdr:rowOff>
        </xdr:to>
        <xdr:sp macro="" textlink="">
          <xdr:nvSpPr>
            <xdr:cNvPr id="1890" name="Option Button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116</xdr:row>
          <xdr:rowOff>9525</xdr:rowOff>
        </xdr:from>
        <xdr:to>
          <xdr:col>8</xdr:col>
          <xdr:colOff>266700</xdr:colOff>
          <xdr:row>117</xdr:row>
          <xdr:rowOff>38100</xdr:rowOff>
        </xdr:to>
        <xdr:sp macro="" textlink="">
          <xdr:nvSpPr>
            <xdr:cNvPr id="1891" name="Option Button 867" hidden="1">
              <a:extLst>
                <a:ext uri="{63B3BB69-23CF-44E3-9099-C40C66FF867C}">
                  <a14:compatExt spid="_x0000_s1891"/>
                </a:ext>
                <a:ext uri="{FF2B5EF4-FFF2-40B4-BE49-F238E27FC236}">
                  <a16:creationId xmlns:a16="http://schemas.microsoft.com/office/drawing/2014/main" id="{00000000-0008-0000-0100-00006307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131</xdr:row>
          <xdr:rowOff>180975</xdr:rowOff>
        </xdr:from>
        <xdr:to>
          <xdr:col>5</xdr:col>
          <xdr:colOff>47625</xdr:colOff>
          <xdr:row>133</xdr:row>
          <xdr:rowOff>19050</xdr:rowOff>
        </xdr:to>
        <xdr:sp macro="" textlink="">
          <xdr:nvSpPr>
            <xdr:cNvPr id="1892" name="Option Button 868" hidden="1">
              <a:extLst>
                <a:ext uri="{63B3BB69-23CF-44E3-9099-C40C66FF867C}">
                  <a14:compatExt spid="_x0000_s1892"/>
                </a:ext>
                <a:ext uri="{FF2B5EF4-FFF2-40B4-BE49-F238E27FC236}">
                  <a16:creationId xmlns:a16="http://schemas.microsoft.com/office/drawing/2014/main" id="{00000000-0008-0000-0100-00006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129</xdr:row>
          <xdr:rowOff>9525</xdr:rowOff>
        </xdr:from>
        <xdr:to>
          <xdr:col>6</xdr:col>
          <xdr:colOff>47625</xdr:colOff>
          <xdr:row>130</xdr:row>
          <xdr:rowOff>28575</xdr:rowOff>
        </xdr:to>
        <xdr:sp macro="" textlink="">
          <xdr:nvSpPr>
            <xdr:cNvPr id="1694" name="Check Box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44451</xdr:colOff>
      <xdr:row>14</xdr:row>
      <xdr:rowOff>82550</xdr:rowOff>
    </xdr:from>
    <xdr:to>
      <xdr:col>9</xdr:col>
      <xdr:colOff>603251</xdr:colOff>
      <xdr:row>24</xdr:row>
      <xdr:rowOff>44450</xdr:rowOff>
    </xdr:to>
    <xdr:sp macro="" textlink="">
      <xdr:nvSpPr>
        <xdr:cNvPr id="1896" name="Rectangle: Rounded Corners 1895">
          <a:extLst>
            <a:ext uri="{FF2B5EF4-FFF2-40B4-BE49-F238E27FC236}">
              <a16:creationId xmlns:a16="http://schemas.microsoft.com/office/drawing/2014/main" id="{00000000-0008-0000-0100-000068070000}"/>
            </a:ext>
          </a:extLst>
        </xdr:cNvPr>
        <xdr:cNvSpPr/>
      </xdr:nvSpPr>
      <xdr:spPr>
        <a:xfrm>
          <a:off x="44451" y="2825750"/>
          <a:ext cx="6445250" cy="1866900"/>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0</xdr:col>
          <xdr:colOff>314325</xdr:colOff>
          <xdr:row>102</xdr:row>
          <xdr:rowOff>0</xdr:rowOff>
        </xdr:from>
        <xdr:to>
          <xdr:col>10</xdr:col>
          <xdr:colOff>323850</xdr:colOff>
          <xdr:row>106</xdr:row>
          <xdr:rowOff>38100</xdr:rowOff>
        </xdr:to>
        <xdr:sp macro="" textlink="">
          <xdr:nvSpPr>
            <xdr:cNvPr id="1895" name="Group Box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871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619125</xdr:colOff>
          <xdr:row>137</xdr:row>
          <xdr:rowOff>76200</xdr:rowOff>
        </xdr:from>
        <xdr:to>
          <xdr:col>10</xdr:col>
          <xdr:colOff>85725</xdr:colOff>
          <xdr:row>147</xdr:row>
          <xdr:rowOff>76200</xdr:rowOff>
        </xdr:to>
        <xdr:sp macro="" textlink="">
          <xdr:nvSpPr>
            <xdr:cNvPr id="1904" name="Group Box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 880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137</xdr:row>
          <xdr:rowOff>180975</xdr:rowOff>
        </xdr:from>
        <xdr:to>
          <xdr:col>7</xdr:col>
          <xdr:colOff>619125</xdr:colOff>
          <xdr:row>139</xdr:row>
          <xdr:rowOff>19050</xdr:rowOff>
        </xdr:to>
        <xdr:sp macro="" textlink="">
          <xdr:nvSpPr>
            <xdr:cNvPr id="1905" name="Option Button 881" hidden="1">
              <a:extLst>
                <a:ext uri="{63B3BB69-23CF-44E3-9099-C40C66FF867C}">
                  <a14:compatExt spid="_x0000_s1905"/>
                </a:ext>
                <a:ext uri="{FF2B5EF4-FFF2-40B4-BE49-F238E27FC236}">
                  <a16:creationId xmlns:a16="http://schemas.microsoft.com/office/drawing/2014/main" id="{00000000-0008-0000-0100-00007107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138</xdr:row>
          <xdr:rowOff>190500</xdr:rowOff>
        </xdr:from>
        <xdr:to>
          <xdr:col>7</xdr:col>
          <xdr:colOff>619125</xdr:colOff>
          <xdr:row>140</xdr:row>
          <xdr:rowOff>28575</xdr:rowOff>
        </xdr:to>
        <xdr:sp macro="" textlink="">
          <xdr:nvSpPr>
            <xdr:cNvPr id="1906" name="Option Button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140</xdr:row>
          <xdr:rowOff>0</xdr:rowOff>
        </xdr:from>
        <xdr:to>
          <xdr:col>7</xdr:col>
          <xdr:colOff>628650</xdr:colOff>
          <xdr:row>141</xdr:row>
          <xdr:rowOff>28575</xdr:rowOff>
        </xdr:to>
        <xdr:sp macro="" textlink="">
          <xdr:nvSpPr>
            <xdr:cNvPr id="1907" name="Option Button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141</xdr:row>
          <xdr:rowOff>0</xdr:rowOff>
        </xdr:from>
        <xdr:to>
          <xdr:col>7</xdr:col>
          <xdr:colOff>628650</xdr:colOff>
          <xdr:row>142</xdr:row>
          <xdr:rowOff>28575</xdr:rowOff>
        </xdr:to>
        <xdr:sp macro="" textlink="">
          <xdr:nvSpPr>
            <xdr:cNvPr id="1908" name="Option Button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142</xdr:row>
          <xdr:rowOff>28575</xdr:rowOff>
        </xdr:from>
        <xdr:to>
          <xdr:col>7</xdr:col>
          <xdr:colOff>628650</xdr:colOff>
          <xdr:row>143</xdr:row>
          <xdr:rowOff>57150</xdr:rowOff>
        </xdr:to>
        <xdr:sp macro="" textlink="">
          <xdr:nvSpPr>
            <xdr:cNvPr id="1909" name="Option Button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38100</xdr:colOff>
      <xdr:row>135</xdr:row>
      <xdr:rowOff>139700</xdr:rowOff>
    </xdr:from>
    <xdr:to>
      <xdr:col>10</xdr:col>
      <xdr:colOff>19050</xdr:colOff>
      <xdr:row>148</xdr:row>
      <xdr:rowOff>88900</xdr:rowOff>
    </xdr:to>
    <xdr:sp macro="" textlink="">
      <xdr:nvSpPr>
        <xdr:cNvPr id="55" name="Rectangle: Rounded Corners 54">
          <a:extLst>
            <a:ext uri="{FF2B5EF4-FFF2-40B4-BE49-F238E27FC236}">
              <a16:creationId xmlns:a16="http://schemas.microsoft.com/office/drawing/2014/main" id="{00000000-0008-0000-0100-000037000000}"/>
            </a:ext>
          </a:extLst>
        </xdr:cNvPr>
        <xdr:cNvSpPr/>
      </xdr:nvSpPr>
      <xdr:spPr>
        <a:xfrm>
          <a:off x="38100" y="26168350"/>
          <a:ext cx="6515100" cy="2451100"/>
        </a:xfrm>
        <a:prstGeom prst="roundRect">
          <a:avLst>
            <a:gd name="adj" fmla="val 837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4</xdr:col>
      <xdr:colOff>38100</xdr:colOff>
      <xdr:row>48</xdr:row>
      <xdr:rowOff>44450</xdr:rowOff>
    </xdr:from>
    <xdr:to>
      <xdr:col>5</xdr:col>
      <xdr:colOff>361950</xdr:colOff>
      <xdr:row>50</xdr:row>
      <xdr:rowOff>31750</xdr:rowOff>
    </xdr:to>
    <xdr:sp macro="" textlink="">
      <xdr:nvSpPr>
        <xdr:cNvPr id="1912" name="TextBox 1911">
          <a:extLst>
            <a:ext uri="{FF2B5EF4-FFF2-40B4-BE49-F238E27FC236}">
              <a16:creationId xmlns:a16="http://schemas.microsoft.com/office/drawing/2014/main" id="{00000000-0008-0000-0100-000078070000}"/>
            </a:ext>
          </a:extLst>
        </xdr:cNvPr>
        <xdr:cNvSpPr txBox="1"/>
      </xdr:nvSpPr>
      <xdr:spPr>
        <a:xfrm>
          <a:off x="2622550" y="9277350"/>
          <a:ext cx="971550" cy="368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sv-SE" sz="800" b="1">
              <a:solidFill>
                <a:sysClr val="windowText" lastClr="000000"/>
              </a:solidFill>
            </a:rPr>
            <a:t>*</a:t>
          </a:r>
          <a:r>
            <a:rPr lang="sv-SE" sz="700" b="1">
              <a:solidFill>
                <a:srgbClr val="C00000"/>
              </a:solidFill>
            </a:rPr>
            <a:t> BB</a:t>
          </a:r>
          <a:r>
            <a:rPr lang="sv-SE" sz="700"/>
            <a:t>=33-50. </a:t>
          </a:r>
          <a:r>
            <a:rPr lang="sv-SE" sz="700" b="1">
              <a:solidFill>
                <a:srgbClr val="0070C0"/>
              </a:solidFill>
            </a:rPr>
            <a:t>HH</a:t>
          </a:r>
          <a:r>
            <a:rPr lang="sv-SE" sz="700"/>
            <a:t>=30-40;</a:t>
          </a:r>
        </a:p>
        <a:p>
          <a:pPr algn="l"/>
          <a:r>
            <a:rPr lang="sv-SE" sz="700"/>
            <a:t> ** </a:t>
          </a:r>
          <a:r>
            <a:rPr lang="sv-SE" sz="700" b="1">
              <a:solidFill>
                <a:srgbClr val="C00000"/>
              </a:solidFill>
              <a:effectLst/>
              <a:latin typeface="+mn-lt"/>
              <a:ea typeface="+mn-ea"/>
              <a:cs typeface="+mn-cs"/>
            </a:rPr>
            <a:t>BB</a:t>
          </a:r>
          <a:r>
            <a:rPr lang="sv-SE" sz="700">
              <a:solidFill>
                <a:schemeClr val="dk1"/>
              </a:solidFill>
              <a:effectLst/>
              <a:latin typeface="+mn-lt"/>
              <a:ea typeface="+mn-ea"/>
              <a:cs typeface="+mn-cs"/>
            </a:rPr>
            <a:t>=33-50. </a:t>
          </a:r>
          <a:r>
            <a:rPr lang="sv-SE" sz="700" b="1">
              <a:solidFill>
                <a:srgbClr val="0070C0"/>
              </a:solidFill>
              <a:effectLst/>
              <a:latin typeface="+mn-lt"/>
              <a:ea typeface="+mn-ea"/>
              <a:cs typeface="+mn-cs"/>
            </a:rPr>
            <a:t>HH</a:t>
          </a:r>
          <a:r>
            <a:rPr lang="sv-SE" sz="700">
              <a:solidFill>
                <a:schemeClr val="dk1"/>
              </a:solidFill>
              <a:effectLst/>
              <a:latin typeface="+mn-lt"/>
              <a:ea typeface="+mn-ea"/>
              <a:cs typeface="+mn-cs"/>
            </a:rPr>
            <a:t>=25-40</a:t>
          </a:r>
        </a:p>
        <a:p>
          <a:pPr algn="l"/>
          <a:r>
            <a:rPr lang="sv-SE" sz="700">
              <a:solidFill>
                <a:schemeClr val="dk1"/>
              </a:solidFill>
              <a:effectLst/>
              <a:latin typeface="+mn-lt"/>
              <a:ea typeface="+mn-ea"/>
              <a:cs typeface="+mn-cs"/>
            </a:rPr>
            <a:t>*** </a:t>
          </a:r>
          <a:r>
            <a:rPr lang="sv-SE" sz="700" b="1">
              <a:solidFill>
                <a:srgbClr val="C00000"/>
              </a:solidFill>
              <a:effectLst/>
              <a:latin typeface="+mn-lt"/>
              <a:ea typeface="+mn-ea"/>
              <a:cs typeface="+mn-cs"/>
            </a:rPr>
            <a:t>BB</a:t>
          </a:r>
          <a:r>
            <a:rPr lang="sv-SE" sz="700">
              <a:solidFill>
                <a:schemeClr val="dk1"/>
              </a:solidFill>
              <a:effectLst/>
              <a:latin typeface="+mn-lt"/>
              <a:ea typeface="+mn-ea"/>
              <a:cs typeface="+mn-cs"/>
            </a:rPr>
            <a:t>=30-50.</a:t>
          </a:r>
          <a:endParaRPr lang="sv-SE" sz="700"/>
        </a:p>
      </xdr:txBody>
    </xdr:sp>
    <xdr:clientData/>
  </xdr:twoCellAnchor>
  <xdr:twoCellAnchor>
    <xdr:from>
      <xdr:col>3</xdr:col>
      <xdr:colOff>508000</xdr:colOff>
      <xdr:row>44</xdr:row>
      <xdr:rowOff>65943</xdr:rowOff>
    </xdr:from>
    <xdr:to>
      <xdr:col>7</xdr:col>
      <xdr:colOff>107950</xdr:colOff>
      <xdr:row>50</xdr:row>
      <xdr:rowOff>63500</xdr:rowOff>
    </xdr:to>
    <xdr:sp macro="" textlink="">
      <xdr:nvSpPr>
        <xdr:cNvPr id="18" name="Rectangle: Rounded Corners 17">
          <a:extLst>
            <a:ext uri="{FF2B5EF4-FFF2-40B4-BE49-F238E27FC236}">
              <a16:creationId xmlns:a16="http://schemas.microsoft.com/office/drawing/2014/main" id="{00000000-0008-0000-0100-000012000000}"/>
            </a:ext>
          </a:extLst>
        </xdr:cNvPr>
        <xdr:cNvSpPr/>
      </xdr:nvSpPr>
      <xdr:spPr>
        <a:xfrm>
          <a:off x="2442308" y="8521212"/>
          <a:ext cx="2171700" cy="1140557"/>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330200</xdr:colOff>
      <xdr:row>48</xdr:row>
      <xdr:rowOff>38100</xdr:rowOff>
    </xdr:from>
    <xdr:to>
      <xdr:col>9</xdr:col>
      <xdr:colOff>317500</xdr:colOff>
      <xdr:row>50</xdr:row>
      <xdr:rowOff>19050</xdr:rowOff>
    </xdr:to>
    <xdr:sp macro="" textlink="">
      <xdr:nvSpPr>
        <xdr:cNvPr id="1913" name="TextBox 1912">
          <a:extLst>
            <a:ext uri="{FF2B5EF4-FFF2-40B4-BE49-F238E27FC236}">
              <a16:creationId xmlns:a16="http://schemas.microsoft.com/office/drawing/2014/main" id="{00000000-0008-0000-0100-000079070000}"/>
            </a:ext>
          </a:extLst>
        </xdr:cNvPr>
        <xdr:cNvSpPr txBox="1"/>
      </xdr:nvSpPr>
      <xdr:spPr>
        <a:xfrm>
          <a:off x="4819650" y="8083550"/>
          <a:ext cx="1282700"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sv-SE" sz="800" b="1">
              <a:solidFill>
                <a:sysClr val="windowText" lastClr="000000"/>
              </a:solidFill>
            </a:rPr>
            <a:t>*</a:t>
          </a:r>
          <a:r>
            <a:rPr lang="sv-SE" sz="700" b="1">
              <a:solidFill>
                <a:srgbClr val="C00000"/>
              </a:solidFill>
            </a:rPr>
            <a:t> BB</a:t>
          </a:r>
          <a:r>
            <a:rPr lang="sv-SE" sz="700"/>
            <a:t>=36-45. </a:t>
          </a:r>
          <a:r>
            <a:rPr lang="sv-SE" sz="700" b="1">
              <a:solidFill>
                <a:srgbClr val="0070C0"/>
              </a:solidFill>
            </a:rPr>
            <a:t>HH</a:t>
          </a:r>
          <a:r>
            <a:rPr lang="sv-SE" sz="700"/>
            <a:t>=30-40; </a:t>
          </a:r>
        </a:p>
        <a:p>
          <a:pPr algn="l"/>
          <a:r>
            <a:rPr lang="sv-SE" sz="700"/>
            <a:t>** </a:t>
          </a:r>
          <a:r>
            <a:rPr lang="sv-SE" sz="700" b="1">
              <a:solidFill>
                <a:srgbClr val="C00000"/>
              </a:solidFill>
              <a:effectLst/>
              <a:latin typeface="+mn-lt"/>
              <a:ea typeface="+mn-ea"/>
              <a:cs typeface="+mn-cs"/>
            </a:rPr>
            <a:t>BB</a:t>
          </a:r>
          <a:r>
            <a:rPr lang="sv-SE" sz="700">
              <a:solidFill>
                <a:schemeClr val="dk1"/>
              </a:solidFill>
              <a:effectLst/>
              <a:latin typeface="+mn-lt"/>
              <a:ea typeface="+mn-ea"/>
              <a:cs typeface="+mn-cs"/>
            </a:rPr>
            <a:t>=33-42. </a:t>
          </a:r>
          <a:r>
            <a:rPr lang="sv-SE" sz="700" b="1">
              <a:solidFill>
                <a:srgbClr val="0070C0"/>
              </a:solidFill>
              <a:effectLst/>
              <a:latin typeface="+mn-lt"/>
              <a:ea typeface="+mn-ea"/>
              <a:cs typeface="+mn-cs"/>
            </a:rPr>
            <a:t>HH</a:t>
          </a:r>
          <a:r>
            <a:rPr lang="sv-SE" sz="700">
              <a:solidFill>
                <a:schemeClr val="dk1"/>
              </a:solidFill>
              <a:effectLst/>
              <a:latin typeface="+mn-lt"/>
              <a:ea typeface="+mn-ea"/>
              <a:cs typeface="+mn-cs"/>
            </a:rPr>
            <a:t>=25-40</a:t>
          </a:r>
        </a:p>
        <a:p>
          <a:pPr algn="l"/>
          <a:r>
            <a:rPr lang="sv-SE" sz="700">
              <a:solidFill>
                <a:schemeClr val="dk1"/>
              </a:solidFill>
              <a:effectLst/>
              <a:latin typeface="+mn-lt"/>
              <a:ea typeface="+mn-ea"/>
              <a:cs typeface="+mn-cs"/>
            </a:rPr>
            <a:t>*** </a:t>
          </a:r>
          <a:r>
            <a:rPr lang="sv-SE" sz="700" b="1">
              <a:solidFill>
                <a:srgbClr val="C00000"/>
              </a:solidFill>
              <a:effectLst/>
              <a:latin typeface="+mn-lt"/>
              <a:ea typeface="+mn-ea"/>
              <a:cs typeface="+mn-cs"/>
            </a:rPr>
            <a:t>BB</a:t>
          </a:r>
          <a:r>
            <a:rPr lang="sv-SE" sz="700">
              <a:solidFill>
                <a:schemeClr val="dk1"/>
              </a:solidFill>
              <a:effectLst/>
              <a:latin typeface="+mn-lt"/>
              <a:ea typeface="+mn-ea"/>
              <a:cs typeface="+mn-cs"/>
            </a:rPr>
            <a:t>=33-45. </a:t>
          </a:r>
          <a:r>
            <a:rPr lang="sv-SE" sz="700" b="1">
              <a:solidFill>
                <a:srgbClr val="0070C0"/>
              </a:solidFill>
              <a:effectLst/>
              <a:latin typeface="+mn-lt"/>
              <a:ea typeface="+mn-ea"/>
              <a:cs typeface="+mn-cs"/>
            </a:rPr>
            <a:t>HH</a:t>
          </a:r>
          <a:r>
            <a:rPr lang="sv-SE" sz="700">
              <a:solidFill>
                <a:schemeClr val="dk1"/>
              </a:solidFill>
              <a:effectLst/>
              <a:latin typeface="+mn-lt"/>
              <a:ea typeface="+mn-ea"/>
              <a:cs typeface="+mn-cs"/>
            </a:rPr>
            <a:t>=35-40</a:t>
          </a:r>
          <a:endParaRPr lang="sv-SE" sz="700"/>
        </a:p>
      </xdr:txBody>
    </xdr:sp>
    <xdr:clientData/>
  </xdr:twoCellAnchor>
  <mc:AlternateContent xmlns:mc="http://schemas.openxmlformats.org/markup-compatibility/2006">
    <mc:Choice xmlns:a14="http://schemas.microsoft.com/office/drawing/2010/main" Requires="a14">
      <xdr:twoCellAnchor editAs="oneCell">
        <xdr:from>
          <xdr:col>0</xdr:col>
          <xdr:colOff>600075</xdr:colOff>
          <xdr:row>136</xdr:row>
          <xdr:rowOff>190500</xdr:rowOff>
        </xdr:from>
        <xdr:to>
          <xdr:col>1</xdr:col>
          <xdr:colOff>5568</xdr:colOff>
          <xdr:row>138</xdr:row>
          <xdr:rowOff>19050</xdr:rowOff>
        </xdr:to>
        <xdr:sp macro="" textlink="">
          <xdr:nvSpPr>
            <xdr:cNvPr id="1920" name="Check Box 896" hidden="1">
              <a:extLst>
                <a:ext uri="{63B3BB69-23CF-44E3-9099-C40C66FF867C}">
                  <a14:compatExt spid="_x0000_s1920"/>
                </a:ext>
                <a:ext uri="{FF2B5EF4-FFF2-40B4-BE49-F238E27FC236}">
                  <a16:creationId xmlns:a16="http://schemas.microsoft.com/office/drawing/2014/main" id="{00000000-0008-0000-0100-00008007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107</xdr:row>
          <xdr:rowOff>161925</xdr:rowOff>
        </xdr:from>
        <xdr:to>
          <xdr:col>0</xdr:col>
          <xdr:colOff>800100</xdr:colOff>
          <xdr:row>109</xdr:row>
          <xdr:rowOff>0</xdr:rowOff>
        </xdr:to>
        <xdr:sp macro="" textlink="">
          <xdr:nvSpPr>
            <xdr:cNvPr id="1921" name="Option Button 897" hidden="1">
              <a:extLst>
                <a:ext uri="{63B3BB69-23CF-44E3-9099-C40C66FF867C}">
                  <a14:compatExt spid="_x0000_s1921"/>
                </a:ext>
                <a:ext uri="{FF2B5EF4-FFF2-40B4-BE49-F238E27FC236}">
                  <a16:creationId xmlns:a16="http://schemas.microsoft.com/office/drawing/2014/main" id="{00000000-0008-0000-0100-00008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140</xdr:row>
          <xdr:rowOff>19050</xdr:rowOff>
        </xdr:from>
        <xdr:to>
          <xdr:col>5</xdr:col>
          <xdr:colOff>161925</xdr:colOff>
          <xdr:row>141</xdr:row>
          <xdr:rowOff>38100</xdr:rowOff>
        </xdr:to>
        <xdr:sp macro="" textlink="">
          <xdr:nvSpPr>
            <xdr:cNvPr id="1922" name="Check Box 898" hidden="1">
              <a:extLst>
                <a:ext uri="{63B3BB69-23CF-44E3-9099-C40C66FF867C}">
                  <a14:compatExt spid="_x0000_s1922"/>
                </a:ext>
                <a:ext uri="{FF2B5EF4-FFF2-40B4-BE49-F238E27FC236}">
                  <a16:creationId xmlns:a16="http://schemas.microsoft.com/office/drawing/2014/main" id="{00000000-0008-0000-0100-00008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39</xdr:row>
          <xdr:rowOff>0</xdr:rowOff>
        </xdr:from>
        <xdr:to>
          <xdr:col>9</xdr:col>
          <xdr:colOff>542925</xdr:colOff>
          <xdr:row>42</xdr:row>
          <xdr:rowOff>180975</xdr:rowOff>
        </xdr:to>
        <xdr:sp macro="" textlink="">
          <xdr:nvSpPr>
            <xdr:cNvPr id="1926" name="Group Box 902" hidden="1">
              <a:extLst>
                <a:ext uri="{63B3BB69-23CF-44E3-9099-C40C66FF867C}">
                  <a14:compatExt spid="_x0000_s1926"/>
                </a:ext>
                <a:ext uri="{FF2B5EF4-FFF2-40B4-BE49-F238E27FC236}">
                  <a16:creationId xmlns:a16="http://schemas.microsoft.com/office/drawing/2014/main" id="{00000000-0008-0000-0100-000086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902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619125</xdr:colOff>
          <xdr:row>40</xdr:row>
          <xdr:rowOff>180975</xdr:rowOff>
        </xdr:from>
        <xdr:to>
          <xdr:col>1</xdr:col>
          <xdr:colOff>47625</xdr:colOff>
          <xdr:row>42</xdr:row>
          <xdr:rowOff>19050</xdr:rowOff>
        </xdr:to>
        <xdr:sp macro="" textlink="">
          <xdr:nvSpPr>
            <xdr:cNvPr id="1927" name="Option Button 903" hidden="1">
              <a:extLst>
                <a:ext uri="{63B3BB69-23CF-44E3-9099-C40C66FF867C}">
                  <a14:compatExt spid="_x0000_s1927"/>
                </a:ext>
                <a:ext uri="{FF2B5EF4-FFF2-40B4-BE49-F238E27FC236}">
                  <a16:creationId xmlns:a16="http://schemas.microsoft.com/office/drawing/2014/main" id="{00000000-0008-0000-0100-00008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40</xdr:row>
          <xdr:rowOff>9525</xdr:rowOff>
        </xdr:from>
        <xdr:to>
          <xdr:col>3</xdr:col>
          <xdr:colOff>171450</xdr:colOff>
          <xdr:row>41</xdr:row>
          <xdr:rowOff>38100</xdr:rowOff>
        </xdr:to>
        <xdr:sp macro="" textlink="">
          <xdr:nvSpPr>
            <xdr:cNvPr id="1928" name="Option Button 904" hidden="1">
              <a:extLst>
                <a:ext uri="{63B3BB69-23CF-44E3-9099-C40C66FF867C}">
                  <a14:compatExt spid="_x0000_s1928"/>
                </a:ext>
                <a:ext uri="{FF2B5EF4-FFF2-40B4-BE49-F238E27FC236}">
                  <a16:creationId xmlns:a16="http://schemas.microsoft.com/office/drawing/2014/main" id="{00000000-0008-0000-0100-00008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39</xdr:row>
          <xdr:rowOff>171450</xdr:rowOff>
        </xdr:from>
        <xdr:to>
          <xdr:col>4</xdr:col>
          <xdr:colOff>123825</xdr:colOff>
          <xdr:row>41</xdr:row>
          <xdr:rowOff>9525</xdr:rowOff>
        </xdr:to>
        <xdr:sp macro="" textlink="">
          <xdr:nvSpPr>
            <xdr:cNvPr id="1929" name="Option Button 905" hidden="1">
              <a:extLst>
                <a:ext uri="{63B3BB69-23CF-44E3-9099-C40C66FF867C}">
                  <a14:compatExt spid="_x0000_s1929"/>
                </a:ext>
                <a:ext uri="{FF2B5EF4-FFF2-40B4-BE49-F238E27FC236}">
                  <a16:creationId xmlns:a16="http://schemas.microsoft.com/office/drawing/2014/main" id="{00000000-0008-0000-0100-00008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39</xdr:row>
          <xdr:rowOff>171450</xdr:rowOff>
        </xdr:from>
        <xdr:to>
          <xdr:col>5</xdr:col>
          <xdr:colOff>171450</xdr:colOff>
          <xdr:row>41</xdr:row>
          <xdr:rowOff>9525</xdr:rowOff>
        </xdr:to>
        <xdr:sp macro="" textlink="">
          <xdr:nvSpPr>
            <xdr:cNvPr id="1930" name="Option Button 906" hidden="1">
              <a:extLst>
                <a:ext uri="{63B3BB69-23CF-44E3-9099-C40C66FF867C}">
                  <a14:compatExt spid="_x0000_s1930"/>
                </a:ext>
                <a:ext uri="{FF2B5EF4-FFF2-40B4-BE49-F238E27FC236}">
                  <a16:creationId xmlns:a16="http://schemas.microsoft.com/office/drawing/2014/main" id="{00000000-0008-0000-0100-00008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39</xdr:row>
          <xdr:rowOff>171450</xdr:rowOff>
        </xdr:from>
        <xdr:to>
          <xdr:col>6</xdr:col>
          <xdr:colOff>219075</xdr:colOff>
          <xdr:row>41</xdr:row>
          <xdr:rowOff>9525</xdr:rowOff>
        </xdr:to>
        <xdr:sp macro="" textlink="">
          <xdr:nvSpPr>
            <xdr:cNvPr id="1931" name="Option Button 907" hidden="1">
              <a:extLst>
                <a:ext uri="{63B3BB69-23CF-44E3-9099-C40C66FF867C}">
                  <a14:compatExt spid="_x0000_s1931"/>
                </a:ext>
                <a:ext uri="{FF2B5EF4-FFF2-40B4-BE49-F238E27FC236}">
                  <a16:creationId xmlns:a16="http://schemas.microsoft.com/office/drawing/2014/main" id="{00000000-0008-0000-0100-00008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25400</xdr:colOff>
      <xdr:row>39</xdr:row>
      <xdr:rowOff>31750</xdr:rowOff>
    </xdr:from>
    <xdr:to>
      <xdr:col>9</xdr:col>
      <xdr:colOff>635000</xdr:colOff>
      <xdr:row>42</xdr:row>
      <xdr:rowOff>114300</xdr:rowOff>
    </xdr:to>
    <xdr:sp macro="" textlink="">
      <xdr:nvSpPr>
        <xdr:cNvPr id="11" name="Rectangle: Rounded Corners 10">
          <a:extLst>
            <a:ext uri="{FF2B5EF4-FFF2-40B4-BE49-F238E27FC236}">
              <a16:creationId xmlns:a16="http://schemas.microsoft.com/office/drawing/2014/main" id="{00000000-0008-0000-0100-00000B000000}"/>
            </a:ext>
          </a:extLst>
        </xdr:cNvPr>
        <xdr:cNvSpPr/>
      </xdr:nvSpPr>
      <xdr:spPr>
        <a:xfrm>
          <a:off x="25400" y="7550150"/>
          <a:ext cx="6496050" cy="654050"/>
        </a:xfrm>
        <a:prstGeom prst="roundRect">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1</xdr:col>
          <xdr:colOff>266700</xdr:colOff>
          <xdr:row>40</xdr:row>
          <xdr:rowOff>0</xdr:rowOff>
        </xdr:from>
        <xdr:to>
          <xdr:col>2</xdr:col>
          <xdr:colOff>28575</xdr:colOff>
          <xdr:row>41</xdr:row>
          <xdr:rowOff>28575</xdr:rowOff>
        </xdr:to>
        <xdr:sp macro="" textlink="">
          <xdr:nvSpPr>
            <xdr:cNvPr id="1932" name="Option Button 908" hidden="1">
              <a:extLst>
                <a:ext uri="{63B3BB69-23CF-44E3-9099-C40C66FF867C}">
                  <a14:compatExt spid="_x0000_s1932"/>
                </a:ext>
                <a:ext uri="{FF2B5EF4-FFF2-40B4-BE49-F238E27FC236}">
                  <a16:creationId xmlns:a16="http://schemas.microsoft.com/office/drawing/2014/main" id="{00000000-0008-0000-0100-00008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158</xdr:row>
          <xdr:rowOff>190500</xdr:rowOff>
        </xdr:from>
        <xdr:to>
          <xdr:col>5</xdr:col>
          <xdr:colOff>180975</xdr:colOff>
          <xdr:row>160</xdr:row>
          <xdr:rowOff>19050</xdr:rowOff>
        </xdr:to>
        <xdr:sp macro="" textlink="">
          <xdr:nvSpPr>
            <xdr:cNvPr id="1933" name="Check Box 909" hidden="1">
              <a:extLst>
                <a:ext uri="{63B3BB69-23CF-44E3-9099-C40C66FF867C}">
                  <a14:compatExt spid="_x0000_s1933"/>
                </a:ext>
                <a:ext uri="{FF2B5EF4-FFF2-40B4-BE49-F238E27FC236}">
                  <a16:creationId xmlns:a16="http://schemas.microsoft.com/office/drawing/2014/main" id="{00000000-0008-0000-0100-00008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39</xdr:row>
          <xdr:rowOff>180975</xdr:rowOff>
        </xdr:from>
        <xdr:to>
          <xdr:col>7</xdr:col>
          <xdr:colOff>342900</xdr:colOff>
          <xdr:row>41</xdr:row>
          <xdr:rowOff>19050</xdr:rowOff>
        </xdr:to>
        <xdr:sp macro="" textlink="">
          <xdr:nvSpPr>
            <xdr:cNvPr id="1938" name="Option Button 914" hidden="1">
              <a:extLst>
                <a:ext uri="{63B3BB69-23CF-44E3-9099-C40C66FF867C}">
                  <a14:compatExt spid="_x0000_s1938"/>
                </a:ext>
                <a:ext uri="{FF2B5EF4-FFF2-40B4-BE49-F238E27FC236}">
                  <a16:creationId xmlns:a16="http://schemas.microsoft.com/office/drawing/2014/main" id="{00000000-0008-0000-0100-00009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63501</xdr:colOff>
      <xdr:row>0</xdr:row>
      <xdr:rowOff>11388</xdr:rowOff>
    </xdr:from>
    <xdr:to>
      <xdr:col>2</xdr:col>
      <xdr:colOff>152401</xdr:colOff>
      <xdr:row>1</xdr:row>
      <xdr:rowOff>106204</xdr:rowOff>
    </xdr:to>
    <xdr:pic>
      <xdr:nvPicPr>
        <xdr:cNvPr id="17" name="Picture 16">
          <a:hlinkClick xmlns:r="http://schemas.openxmlformats.org/officeDocument/2006/relationships" r:id="rId19"/>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63501" y="11388"/>
          <a:ext cx="1377950" cy="2853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66675</xdr:colOff>
          <xdr:row>23</xdr:row>
          <xdr:rowOff>9525</xdr:rowOff>
        </xdr:from>
        <xdr:to>
          <xdr:col>4</xdr:col>
          <xdr:colOff>276225</xdr:colOff>
          <xdr:row>23</xdr:row>
          <xdr:rowOff>180975</xdr:rowOff>
        </xdr:to>
        <xdr:sp macro="" textlink="">
          <xdr:nvSpPr>
            <xdr:cNvPr id="1944" name="Option Button 920" hidden="1">
              <a:extLst>
                <a:ext uri="{63B3BB69-23CF-44E3-9099-C40C66FF867C}">
                  <a14:compatExt spid="_x0000_s1944"/>
                </a:ext>
                <a:ext uri="{FF2B5EF4-FFF2-40B4-BE49-F238E27FC236}">
                  <a16:creationId xmlns:a16="http://schemas.microsoft.com/office/drawing/2014/main" id="{00000000-0008-0000-0100-00009807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133350</xdr:colOff>
      <xdr:row>3</xdr:row>
      <xdr:rowOff>38100</xdr:rowOff>
    </xdr:from>
    <xdr:to>
      <xdr:col>9</xdr:col>
      <xdr:colOff>558799</xdr:colOff>
      <xdr:row>8</xdr:row>
      <xdr:rowOff>171450</xdr:rowOff>
    </xdr:to>
    <xdr:sp macro="" textlink="">
      <xdr:nvSpPr>
        <xdr:cNvPr id="8" name="Rectangle: Rounded Corners 7">
          <a:extLst>
            <a:ext uri="{FF2B5EF4-FFF2-40B4-BE49-F238E27FC236}">
              <a16:creationId xmlns:a16="http://schemas.microsoft.com/office/drawing/2014/main" id="{00000000-0008-0000-0100-000008000000}"/>
            </a:ext>
          </a:extLst>
        </xdr:cNvPr>
        <xdr:cNvSpPr/>
      </xdr:nvSpPr>
      <xdr:spPr>
        <a:xfrm>
          <a:off x="4654550" y="774700"/>
          <a:ext cx="1733549" cy="984250"/>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88900</xdr:colOff>
      <xdr:row>9</xdr:row>
      <xdr:rowOff>25400</xdr:rowOff>
    </xdr:from>
    <xdr:to>
      <xdr:col>9</xdr:col>
      <xdr:colOff>558800</xdr:colOff>
      <xdr:row>12</xdr:row>
      <xdr:rowOff>25400</xdr:rowOff>
    </xdr:to>
    <xdr:sp macro="" textlink="">
      <xdr:nvSpPr>
        <xdr:cNvPr id="9" name="Rectangle: Rounded Corners 8">
          <a:extLst>
            <a:ext uri="{FF2B5EF4-FFF2-40B4-BE49-F238E27FC236}">
              <a16:creationId xmlns:a16="http://schemas.microsoft.com/office/drawing/2014/main" id="{00000000-0008-0000-0100-000009000000}"/>
            </a:ext>
          </a:extLst>
        </xdr:cNvPr>
        <xdr:cNvSpPr/>
      </xdr:nvSpPr>
      <xdr:spPr>
        <a:xfrm>
          <a:off x="88900" y="1803400"/>
          <a:ext cx="6299200" cy="571500"/>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558800</xdr:colOff>
      <xdr:row>61</xdr:row>
      <xdr:rowOff>25400</xdr:rowOff>
    </xdr:from>
    <xdr:to>
      <xdr:col>7</xdr:col>
      <xdr:colOff>101600</xdr:colOff>
      <xdr:row>63</xdr:row>
      <xdr:rowOff>63500</xdr:rowOff>
    </xdr:to>
    <xdr:sp macro="" textlink="">
      <xdr:nvSpPr>
        <xdr:cNvPr id="4" name="Rectangle: Rounded Corners 3">
          <a:extLst>
            <a:ext uri="{FF2B5EF4-FFF2-40B4-BE49-F238E27FC236}">
              <a16:creationId xmlns:a16="http://schemas.microsoft.com/office/drawing/2014/main" id="{00000000-0008-0000-0100-000004000000}"/>
            </a:ext>
          </a:extLst>
        </xdr:cNvPr>
        <xdr:cNvSpPr/>
      </xdr:nvSpPr>
      <xdr:spPr>
        <a:xfrm>
          <a:off x="2495550" y="11734800"/>
          <a:ext cx="2127250" cy="419100"/>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4</xdr:col>
          <xdr:colOff>476250</xdr:colOff>
          <xdr:row>130</xdr:row>
          <xdr:rowOff>180975</xdr:rowOff>
        </xdr:from>
        <xdr:to>
          <xdr:col>5</xdr:col>
          <xdr:colOff>57150</xdr:colOff>
          <xdr:row>132</xdr:row>
          <xdr:rowOff>19050</xdr:rowOff>
        </xdr:to>
        <xdr:sp macro="" textlink="">
          <xdr:nvSpPr>
            <xdr:cNvPr id="1946" name="Option Button 922" hidden="1">
              <a:extLst>
                <a:ext uri="{63B3BB69-23CF-44E3-9099-C40C66FF867C}">
                  <a14:compatExt spid="_x0000_s1946"/>
                </a:ext>
                <a:ext uri="{FF2B5EF4-FFF2-40B4-BE49-F238E27FC236}">
                  <a16:creationId xmlns:a16="http://schemas.microsoft.com/office/drawing/2014/main" id="{00000000-0008-0000-0100-00009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133</xdr:row>
          <xdr:rowOff>180975</xdr:rowOff>
        </xdr:from>
        <xdr:to>
          <xdr:col>4</xdr:col>
          <xdr:colOff>76200</xdr:colOff>
          <xdr:row>135</xdr:row>
          <xdr:rowOff>19050</xdr:rowOff>
        </xdr:to>
        <xdr:sp macro="" textlink="">
          <xdr:nvSpPr>
            <xdr:cNvPr id="1950" name="Option Button 926" hidden="1">
              <a:extLst>
                <a:ext uri="{63B3BB69-23CF-44E3-9099-C40C66FF867C}">
                  <a14:compatExt spid="_x0000_s1950"/>
                </a:ext>
                <a:ext uri="{FF2B5EF4-FFF2-40B4-BE49-F238E27FC236}">
                  <a16:creationId xmlns:a16="http://schemas.microsoft.com/office/drawing/2014/main" id="{00000000-0008-0000-0100-00009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114300</xdr:colOff>
      <xdr:row>27</xdr:row>
      <xdr:rowOff>38100</xdr:rowOff>
    </xdr:from>
    <xdr:to>
      <xdr:col>8</xdr:col>
      <xdr:colOff>190500</xdr:colOff>
      <xdr:row>30</xdr:row>
      <xdr:rowOff>165100</xdr:rowOff>
    </xdr:to>
    <xdr:sp macro="" textlink="">
      <xdr:nvSpPr>
        <xdr:cNvPr id="15" name="Rectangle: Rounded Corners 14">
          <a:extLst>
            <a:ext uri="{FF2B5EF4-FFF2-40B4-BE49-F238E27FC236}">
              <a16:creationId xmlns:a16="http://schemas.microsoft.com/office/drawing/2014/main" id="{81E124E1-0679-472A-AA50-2B80067B38F6}"/>
            </a:ext>
          </a:extLst>
        </xdr:cNvPr>
        <xdr:cNvSpPr/>
      </xdr:nvSpPr>
      <xdr:spPr>
        <a:xfrm>
          <a:off x="4635500" y="5270500"/>
          <a:ext cx="723900" cy="698500"/>
        </a:xfrm>
        <a:prstGeom prst="roundRect">
          <a:avLst/>
        </a:prstGeom>
        <a:blipFill>
          <a:blip xmlns:r="http://schemas.openxmlformats.org/officeDocument/2006/relationships" r:embed="rId21"/>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63500</xdr:colOff>
      <xdr:row>33</xdr:row>
      <xdr:rowOff>146050</xdr:rowOff>
    </xdr:from>
    <xdr:to>
      <xdr:col>0</xdr:col>
      <xdr:colOff>679450</xdr:colOff>
      <xdr:row>36</xdr:row>
      <xdr:rowOff>133350</xdr:rowOff>
    </xdr:to>
    <xdr:sp macro="" textlink="">
      <xdr:nvSpPr>
        <xdr:cNvPr id="20" name="Rectangle: Rounded Corners 19">
          <a:extLst>
            <a:ext uri="{FF2B5EF4-FFF2-40B4-BE49-F238E27FC236}">
              <a16:creationId xmlns:a16="http://schemas.microsoft.com/office/drawing/2014/main" id="{90C8BFE2-24FA-4EC1-BB11-72122F8D1CFC}"/>
            </a:ext>
          </a:extLst>
        </xdr:cNvPr>
        <xdr:cNvSpPr/>
      </xdr:nvSpPr>
      <xdr:spPr>
        <a:xfrm>
          <a:off x="63500" y="6521450"/>
          <a:ext cx="615950" cy="558800"/>
        </a:xfrm>
        <a:prstGeom prst="roundRect">
          <a:avLst/>
        </a:prstGeom>
        <a:blipFill>
          <a:blip xmlns:r="http://schemas.openxmlformats.org/officeDocument/2006/relationships" r:embed="rId22"/>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50800</xdr:colOff>
      <xdr:row>39</xdr:row>
      <xdr:rowOff>82550</xdr:rowOff>
    </xdr:from>
    <xdr:to>
      <xdr:col>0</xdr:col>
      <xdr:colOff>666750</xdr:colOff>
      <xdr:row>42</xdr:row>
      <xdr:rowOff>69850</xdr:rowOff>
    </xdr:to>
    <xdr:sp macro="" textlink="">
      <xdr:nvSpPr>
        <xdr:cNvPr id="21" name="Rectangle: Rounded Corners 20">
          <a:extLst>
            <a:ext uri="{FF2B5EF4-FFF2-40B4-BE49-F238E27FC236}">
              <a16:creationId xmlns:a16="http://schemas.microsoft.com/office/drawing/2014/main" id="{E28A3E00-4288-48BF-ABE4-1C8982750008}"/>
            </a:ext>
          </a:extLst>
        </xdr:cNvPr>
        <xdr:cNvSpPr/>
      </xdr:nvSpPr>
      <xdr:spPr>
        <a:xfrm>
          <a:off x="50800" y="7600950"/>
          <a:ext cx="615950" cy="558800"/>
        </a:xfrm>
        <a:prstGeom prst="roundRect">
          <a:avLst/>
        </a:prstGeom>
        <a:blipFill>
          <a:blip xmlns:r="http://schemas.openxmlformats.org/officeDocument/2006/relationships" r:embed="rId23"/>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6</xdr:col>
      <xdr:colOff>73269</xdr:colOff>
      <xdr:row>72</xdr:row>
      <xdr:rowOff>161192</xdr:rowOff>
    </xdr:from>
    <xdr:to>
      <xdr:col>7</xdr:col>
      <xdr:colOff>95249</xdr:colOff>
      <xdr:row>76</xdr:row>
      <xdr:rowOff>36634</xdr:rowOff>
    </xdr:to>
    <xdr:sp macro="" textlink="">
      <xdr:nvSpPr>
        <xdr:cNvPr id="40" name="Rectangle: Rounded Corners 39">
          <a:extLst>
            <a:ext uri="{FF2B5EF4-FFF2-40B4-BE49-F238E27FC236}">
              <a16:creationId xmlns:a16="http://schemas.microsoft.com/office/drawing/2014/main" id="{8960C592-B31F-4AC9-AB73-8AC32686F0BF}"/>
            </a:ext>
          </a:extLst>
        </xdr:cNvPr>
        <xdr:cNvSpPr/>
      </xdr:nvSpPr>
      <xdr:spPr>
        <a:xfrm>
          <a:off x="3941884" y="13979769"/>
          <a:ext cx="659423" cy="666750"/>
        </a:xfrm>
        <a:prstGeom prst="roundRect">
          <a:avLst/>
        </a:prstGeom>
        <a:blipFill>
          <a:blip xmlns:r="http://schemas.openxmlformats.org/officeDocument/2006/relationships" r:embed="rId24"/>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95249</xdr:colOff>
      <xdr:row>93</xdr:row>
      <xdr:rowOff>43961</xdr:rowOff>
    </xdr:from>
    <xdr:to>
      <xdr:col>1</xdr:col>
      <xdr:colOff>146538</xdr:colOff>
      <xdr:row>98</xdr:row>
      <xdr:rowOff>14653</xdr:rowOff>
    </xdr:to>
    <xdr:sp macro="" textlink="">
      <xdr:nvSpPr>
        <xdr:cNvPr id="50" name="Rectangle: Rounded Corners 49">
          <a:extLst>
            <a:ext uri="{FF2B5EF4-FFF2-40B4-BE49-F238E27FC236}">
              <a16:creationId xmlns:a16="http://schemas.microsoft.com/office/drawing/2014/main" id="{026A1C80-0F90-42A9-89BA-36EEDFD947C4}"/>
            </a:ext>
          </a:extLst>
        </xdr:cNvPr>
        <xdr:cNvSpPr/>
      </xdr:nvSpPr>
      <xdr:spPr>
        <a:xfrm>
          <a:off x="95249" y="17936307"/>
          <a:ext cx="864577" cy="923192"/>
        </a:xfrm>
        <a:prstGeom prst="roundRect">
          <a:avLst/>
        </a:prstGeom>
        <a:blipFill>
          <a:blip xmlns:r="http://schemas.openxmlformats.org/officeDocument/2006/relationships" r:embed="rId25"/>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203200</xdr:colOff>
      <xdr:row>113</xdr:row>
      <xdr:rowOff>158750</xdr:rowOff>
    </xdr:from>
    <xdr:to>
      <xdr:col>4</xdr:col>
      <xdr:colOff>374650</xdr:colOff>
      <xdr:row>118</xdr:row>
      <xdr:rowOff>66430</xdr:rowOff>
    </xdr:to>
    <xdr:sp macro="" textlink="">
      <xdr:nvSpPr>
        <xdr:cNvPr id="53" name="Rectangle: Rounded Corners 52">
          <a:extLst>
            <a:ext uri="{FF2B5EF4-FFF2-40B4-BE49-F238E27FC236}">
              <a16:creationId xmlns:a16="http://schemas.microsoft.com/office/drawing/2014/main" id="{69403CC7-8C8C-4B9E-AF50-9481113392A0}"/>
            </a:ext>
          </a:extLst>
        </xdr:cNvPr>
        <xdr:cNvSpPr/>
      </xdr:nvSpPr>
      <xdr:spPr>
        <a:xfrm>
          <a:off x="2139950" y="21945600"/>
          <a:ext cx="819150" cy="872880"/>
        </a:xfrm>
        <a:prstGeom prst="roundRect">
          <a:avLst/>
        </a:prstGeom>
        <a:blipFill>
          <a:blip xmlns:r="http://schemas.openxmlformats.org/officeDocument/2006/relationships" r:embed="rId26"/>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6</xdr:col>
      <xdr:colOff>482600</xdr:colOff>
      <xdr:row>113</xdr:row>
      <xdr:rowOff>139700</xdr:rowOff>
    </xdr:from>
    <xdr:to>
      <xdr:col>8</xdr:col>
      <xdr:colOff>12700</xdr:colOff>
      <xdr:row>118</xdr:row>
      <xdr:rowOff>47380</xdr:rowOff>
    </xdr:to>
    <xdr:sp macro="" textlink="">
      <xdr:nvSpPr>
        <xdr:cNvPr id="54" name="Rectangle: Rounded Corners 53">
          <a:extLst>
            <a:ext uri="{FF2B5EF4-FFF2-40B4-BE49-F238E27FC236}">
              <a16:creationId xmlns:a16="http://schemas.microsoft.com/office/drawing/2014/main" id="{E840BD40-B4AC-4F74-A025-3C5AB895CD8B}"/>
            </a:ext>
          </a:extLst>
        </xdr:cNvPr>
        <xdr:cNvSpPr/>
      </xdr:nvSpPr>
      <xdr:spPr>
        <a:xfrm>
          <a:off x="4362450" y="21926550"/>
          <a:ext cx="819150" cy="872880"/>
        </a:xfrm>
        <a:prstGeom prst="roundRect">
          <a:avLst/>
        </a:prstGeom>
        <a:blipFill>
          <a:blip xmlns:r="http://schemas.openxmlformats.org/officeDocument/2006/relationships" r:embed="rId27"/>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304800</xdr:colOff>
      <xdr:row>121</xdr:row>
      <xdr:rowOff>25400</xdr:rowOff>
    </xdr:from>
    <xdr:to>
      <xdr:col>4</xdr:col>
      <xdr:colOff>355600</xdr:colOff>
      <xdr:row>125</xdr:row>
      <xdr:rowOff>85480</xdr:rowOff>
    </xdr:to>
    <xdr:sp macro="" textlink="">
      <xdr:nvSpPr>
        <xdr:cNvPr id="57" name="Rectangle: Rounded Corners 56">
          <a:extLst>
            <a:ext uri="{FF2B5EF4-FFF2-40B4-BE49-F238E27FC236}">
              <a16:creationId xmlns:a16="http://schemas.microsoft.com/office/drawing/2014/main" id="{73B64572-7C7F-4BB9-BBA8-6BE43AD5EAEB}"/>
            </a:ext>
          </a:extLst>
        </xdr:cNvPr>
        <xdr:cNvSpPr/>
      </xdr:nvSpPr>
      <xdr:spPr>
        <a:xfrm>
          <a:off x="2241550" y="23361650"/>
          <a:ext cx="698500" cy="822080"/>
        </a:xfrm>
        <a:prstGeom prst="roundRect">
          <a:avLst/>
        </a:prstGeom>
        <a:blipFill>
          <a:blip xmlns:r="http://schemas.openxmlformats.org/officeDocument/2006/relationships" r:embed="rId28"/>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6</xdr:col>
      <xdr:colOff>527050</xdr:colOff>
      <xdr:row>120</xdr:row>
      <xdr:rowOff>120650</xdr:rowOff>
    </xdr:from>
    <xdr:to>
      <xdr:col>8</xdr:col>
      <xdr:colOff>57150</xdr:colOff>
      <xdr:row>125</xdr:row>
      <xdr:rowOff>158750</xdr:rowOff>
    </xdr:to>
    <xdr:sp macro="" textlink="">
      <xdr:nvSpPr>
        <xdr:cNvPr id="58" name="Rectangle: Rounded Corners 57">
          <a:extLst>
            <a:ext uri="{FF2B5EF4-FFF2-40B4-BE49-F238E27FC236}">
              <a16:creationId xmlns:a16="http://schemas.microsoft.com/office/drawing/2014/main" id="{BC5D2257-37C0-4AB3-B17C-381394D4CAE6}"/>
            </a:ext>
          </a:extLst>
        </xdr:cNvPr>
        <xdr:cNvSpPr/>
      </xdr:nvSpPr>
      <xdr:spPr>
        <a:xfrm>
          <a:off x="4406900" y="23253700"/>
          <a:ext cx="819150" cy="1003300"/>
        </a:xfrm>
        <a:prstGeom prst="roundRect">
          <a:avLst/>
        </a:prstGeom>
        <a:blipFill>
          <a:blip xmlns:r="http://schemas.openxmlformats.org/officeDocument/2006/relationships" r:embed="rId29"/>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82550</xdr:colOff>
      <xdr:row>130</xdr:row>
      <xdr:rowOff>25400</xdr:rowOff>
    </xdr:from>
    <xdr:to>
      <xdr:col>0</xdr:col>
      <xdr:colOff>781050</xdr:colOff>
      <xdr:row>134</xdr:row>
      <xdr:rowOff>98180</xdr:rowOff>
    </xdr:to>
    <xdr:sp macro="" textlink="">
      <xdr:nvSpPr>
        <xdr:cNvPr id="59" name="Rectangle: Rounded Corners 58">
          <a:extLst>
            <a:ext uri="{FF2B5EF4-FFF2-40B4-BE49-F238E27FC236}">
              <a16:creationId xmlns:a16="http://schemas.microsoft.com/office/drawing/2014/main" id="{DDCF7C81-0581-4136-8CBF-5A4D5A411E21}"/>
            </a:ext>
          </a:extLst>
        </xdr:cNvPr>
        <xdr:cNvSpPr/>
      </xdr:nvSpPr>
      <xdr:spPr>
        <a:xfrm>
          <a:off x="82550" y="25101550"/>
          <a:ext cx="698500" cy="834780"/>
        </a:xfrm>
        <a:prstGeom prst="roundRect">
          <a:avLst/>
        </a:prstGeom>
        <a:blipFill>
          <a:blip xmlns:r="http://schemas.openxmlformats.org/officeDocument/2006/relationships" r:embed="rId30"/>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203200</xdr:colOff>
      <xdr:row>127</xdr:row>
      <xdr:rowOff>158750</xdr:rowOff>
    </xdr:from>
    <xdr:to>
      <xdr:col>4</xdr:col>
      <xdr:colOff>184150</xdr:colOff>
      <xdr:row>131</xdr:row>
      <xdr:rowOff>34680</xdr:rowOff>
    </xdr:to>
    <xdr:sp macro="" textlink="">
      <xdr:nvSpPr>
        <xdr:cNvPr id="60" name="Rectangle: Rounded Corners 59">
          <a:extLst>
            <a:ext uri="{FF2B5EF4-FFF2-40B4-BE49-F238E27FC236}">
              <a16:creationId xmlns:a16="http://schemas.microsoft.com/office/drawing/2014/main" id="{A99DE0D7-EA42-41D8-8CA5-FB0C4D7CB3B5}"/>
            </a:ext>
          </a:extLst>
        </xdr:cNvPr>
        <xdr:cNvSpPr/>
      </xdr:nvSpPr>
      <xdr:spPr>
        <a:xfrm>
          <a:off x="2139950" y="24638000"/>
          <a:ext cx="628650" cy="663330"/>
        </a:xfrm>
        <a:prstGeom prst="roundRect">
          <a:avLst/>
        </a:prstGeom>
        <a:blipFill>
          <a:blip xmlns:r="http://schemas.openxmlformats.org/officeDocument/2006/relationships" r:embed="rId31"/>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5</xdr:col>
      <xdr:colOff>520700</xdr:colOff>
      <xdr:row>130</xdr:row>
      <xdr:rowOff>6350</xdr:rowOff>
    </xdr:from>
    <xdr:to>
      <xdr:col>6</xdr:col>
      <xdr:colOff>546100</xdr:colOff>
      <xdr:row>133</xdr:row>
      <xdr:rowOff>60080</xdr:rowOff>
    </xdr:to>
    <xdr:sp macro="" textlink="">
      <xdr:nvSpPr>
        <xdr:cNvPr id="61" name="Rectangle: Rounded Corners 60">
          <a:extLst>
            <a:ext uri="{FF2B5EF4-FFF2-40B4-BE49-F238E27FC236}">
              <a16:creationId xmlns:a16="http://schemas.microsoft.com/office/drawing/2014/main" id="{2867BE98-C529-4663-9BA9-6DC49D3DA476}"/>
            </a:ext>
          </a:extLst>
        </xdr:cNvPr>
        <xdr:cNvSpPr/>
      </xdr:nvSpPr>
      <xdr:spPr>
        <a:xfrm>
          <a:off x="3752850" y="25082500"/>
          <a:ext cx="673100" cy="625230"/>
        </a:xfrm>
        <a:prstGeom prst="roundRect">
          <a:avLst/>
        </a:prstGeom>
        <a:blipFill>
          <a:blip xmlns:r="http://schemas.openxmlformats.org/officeDocument/2006/relationships" r:embed="rId32"/>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57150</xdr:colOff>
      <xdr:row>128</xdr:row>
      <xdr:rowOff>63500</xdr:rowOff>
    </xdr:from>
    <xdr:to>
      <xdr:col>8</xdr:col>
      <xdr:colOff>82550</xdr:colOff>
      <xdr:row>131</xdr:row>
      <xdr:rowOff>91830</xdr:rowOff>
    </xdr:to>
    <xdr:sp macro="" textlink="">
      <xdr:nvSpPr>
        <xdr:cNvPr id="62" name="Rectangle: Rounded Corners 61">
          <a:extLst>
            <a:ext uri="{FF2B5EF4-FFF2-40B4-BE49-F238E27FC236}">
              <a16:creationId xmlns:a16="http://schemas.microsoft.com/office/drawing/2014/main" id="{312796B4-3D82-4B9A-B03D-76D820638AC8}"/>
            </a:ext>
          </a:extLst>
        </xdr:cNvPr>
        <xdr:cNvSpPr/>
      </xdr:nvSpPr>
      <xdr:spPr>
        <a:xfrm>
          <a:off x="4578350" y="24733250"/>
          <a:ext cx="673100" cy="625230"/>
        </a:xfrm>
        <a:prstGeom prst="roundRect">
          <a:avLst/>
        </a:prstGeom>
        <a:blipFill>
          <a:blip xmlns:r="http://schemas.openxmlformats.org/officeDocument/2006/relationships" r:embed="rId33"/>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5</xdr:col>
      <xdr:colOff>628650</xdr:colOff>
      <xdr:row>136</xdr:row>
      <xdr:rowOff>101600</xdr:rowOff>
    </xdr:from>
    <xdr:to>
      <xdr:col>7</xdr:col>
      <xdr:colOff>19050</xdr:colOff>
      <xdr:row>139</xdr:row>
      <xdr:rowOff>158750</xdr:rowOff>
    </xdr:to>
    <xdr:sp macro="" textlink="">
      <xdr:nvSpPr>
        <xdr:cNvPr id="1799" name="Rectangle: Rounded Corners 1798">
          <a:extLst>
            <a:ext uri="{FF2B5EF4-FFF2-40B4-BE49-F238E27FC236}">
              <a16:creationId xmlns:a16="http://schemas.microsoft.com/office/drawing/2014/main" id="{9536B186-6885-41F6-AEC0-A7116081E301}"/>
            </a:ext>
          </a:extLst>
        </xdr:cNvPr>
        <xdr:cNvSpPr/>
      </xdr:nvSpPr>
      <xdr:spPr>
        <a:xfrm>
          <a:off x="3860800" y="26320750"/>
          <a:ext cx="679450" cy="641350"/>
        </a:xfrm>
        <a:prstGeom prst="roundRect">
          <a:avLst/>
        </a:prstGeom>
        <a:blipFill>
          <a:blip xmlns:r="http://schemas.openxmlformats.org/officeDocument/2006/relationships" r:embed="rId34"/>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8</xdr:col>
      <xdr:colOff>628650</xdr:colOff>
      <xdr:row>136</xdr:row>
      <xdr:rowOff>184150</xdr:rowOff>
    </xdr:from>
    <xdr:to>
      <xdr:col>9</xdr:col>
      <xdr:colOff>590550</xdr:colOff>
      <xdr:row>140</xdr:row>
      <xdr:rowOff>19050</xdr:rowOff>
    </xdr:to>
    <xdr:sp macro="" textlink="">
      <xdr:nvSpPr>
        <xdr:cNvPr id="1803" name="Rectangle: Rounded Corners 1802">
          <a:extLst>
            <a:ext uri="{FF2B5EF4-FFF2-40B4-BE49-F238E27FC236}">
              <a16:creationId xmlns:a16="http://schemas.microsoft.com/office/drawing/2014/main" id="{872077CC-A165-4098-AAE8-9558F4296890}"/>
            </a:ext>
          </a:extLst>
        </xdr:cNvPr>
        <xdr:cNvSpPr/>
      </xdr:nvSpPr>
      <xdr:spPr>
        <a:xfrm>
          <a:off x="5797550" y="26403300"/>
          <a:ext cx="679450" cy="609600"/>
        </a:xfrm>
        <a:prstGeom prst="roundRect">
          <a:avLst/>
        </a:prstGeom>
        <a:blipFill>
          <a:blip xmlns:r="http://schemas.openxmlformats.org/officeDocument/2006/relationships" r:embed="rId35"/>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38100</xdr:colOff>
      <xdr:row>151</xdr:row>
      <xdr:rowOff>152400</xdr:rowOff>
    </xdr:from>
    <xdr:to>
      <xdr:col>0</xdr:col>
      <xdr:colOff>793750</xdr:colOff>
      <xdr:row>155</xdr:row>
      <xdr:rowOff>158750</xdr:rowOff>
    </xdr:to>
    <xdr:sp macro="" textlink="">
      <xdr:nvSpPr>
        <xdr:cNvPr id="1807" name="Rectangle: Rounded Corners 1806">
          <a:extLst>
            <a:ext uri="{FF2B5EF4-FFF2-40B4-BE49-F238E27FC236}">
              <a16:creationId xmlns:a16="http://schemas.microsoft.com/office/drawing/2014/main" id="{85B889C7-A122-4701-B61A-F9D159436BBF}"/>
            </a:ext>
          </a:extLst>
        </xdr:cNvPr>
        <xdr:cNvSpPr/>
      </xdr:nvSpPr>
      <xdr:spPr>
        <a:xfrm>
          <a:off x="38100" y="29267150"/>
          <a:ext cx="755650" cy="781050"/>
        </a:xfrm>
        <a:prstGeom prst="roundRect">
          <a:avLst/>
        </a:prstGeom>
        <a:blipFill>
          <a:blip xmlns:r="http://schemas.openxmlformats.org/officeDocument/2006/relationships" r:embed="rId36"/>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533400</xdr:colOff>
      <xdr:row>151</xdr:row>
      <xdr:rowOff>158750</xdr:rowOff>
    </xdr:from>
    <xdr:to>
      <xdr:col>4</xdr:col>
      <xdr:colOff>641350</xdr:colOff>
      <xdr:row>155</xdr:row>
      <xdr:rowOff>165100</xdr:rowOff>
    </xdr:to>
    <xdr:sp macro="" textlink="">
      <xdr:nvSpPr>
        <xdr:cNvPr id="1811" name="Rectangle: Rounded Corners 1810">
          <a:extLst>
            <a:ext uri="{FF2B5EF4-FFF2-40B4-BE49-F238E27FC236}">
              <a16:creationId xmlns:a16="http://schemas.microsoft.com/office/drawing/2014/main" id="{04021179-24B1-486A-8659-4A67A886FA11}"/>
            </a:ext>
          </a:extLst>
        </xdr:cNvPr>
        <xdr:cNvSpPr/>
      </xdr:nvSpPr>
      <xdr:spPr>
        <a:xfrm>
          <a:off x="2470150" y="29273500"/>
          <a:ext cx="755650" cy="781050"/>
        </a:xfrm>
        <a:prstGeom prst="roundRect">
          <a:avLst/>
        </a:prstGeom>
        <a:blipFill>
          <a:blip xmlns:r="http://schemas.openxmlformats.org/officeDocument/2006/relationships" r:embed="rId37"/>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177800</xdr:colOff>
      <xdr:row>160</xdr:row>
      <xdr:rowOff>38100</xdr:rowOff>
    </xdr:from>
    <xdr:to>
      <xdr:col>1</xdr:col>
      <xdr:colOff>120650</xdr:colOff>
      <xdr:row>164</xdr:row>
      <xdr:rowOff>57150</xdr:rowOff>
    </xdr:to>
    <xdr:sp macro="" textlink="">
      <xdr:nvSpPr>
        <xdr:cNvPr id="1819" name="Rectangle: Rounded Corners 1818">
          <a:extLst>
            <a:ext uri="{FF2B5EF4-FFF2-40B4-BE49-F238E27FC236}">
              <a16:creationId xmlns:a16="http://schemas.microsoft.com/office/drawing/2014/main" id="{3C5296BA-1941-4868-A34B-028F2B2D39A9}"/>
            </a:ext>
          </a:extLst>
        </xdr:cNvPr>
        <xdr:cNvSpPr/>
      </xdr:nvSpPr>
      <xdr:spPr>
        <a:xfrm>
          <a:off x="177800" y="30892750"/>
          <a:ext cx="755650" cy="781050"/>
        </a:xfrm>
        <a:prstGeom prst="roundRect">
          <a:avLst/>
        </a:prstGeom>
        <a:blipFill>
          <a:blip xmlns:r="http://schemas.openxmlformats.org/officeDocument/2006/relationships" r:embed="rId38"/>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393700</xdr:colOff>
      <xdr:row>160</xdr:row>
      <xdr:rowOff>38100</xdr:rowOff>
    </xdr:from>
    <xdr:to>
      <xdr:col>4</xdr:col>
      <xdr:colOff>501650</xdr:colOff>
      <xdr:row>164</xdr:row>
      <xdr:rowOff>57150</xdr:rowOff>
    </xdr:to>
    <xdr:sp macro="" textlink="">
      <xdr:nvSpPr>
        <xdr:cNvPr id="1827" name="Rectangle: Rounded Corners 1826">
          <a:extLst>
            <a:ext uri="{FF2B5EF4-FFF2-40B4-BE49-F238E27FC236}">
              <a16:creationId xmlns:a16="http://schemas.microsoft.com/office/drawing/2014/main" id="{35312C90-50C7-4C7A-9D61-564AB0AFCCFB}"/>
            </a:ext>
          </a:extLst>
        </xdr:cNvPr>
        <xdr:cNvSpPr/>
      </xdr:nvSpPr>
      <xdr:spPr>
        <a:xfrm>
          <a:off x="2330450" y="30892750"/>
          <a:ext cx="755650" cy="781050"/>
        </a:xfrm>
        <a:prstGeom prst="roundRect">
          <a:avLst/>
        </a:prstGeom>
        <a:blipFill>
          <a:blip xmlns:r="http://schemas.openxmlformats.org/officeDocument/2006/relationships" r:embed="rId39"/>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5</xdr:col>
      <xdr:colOff>247650</xdr:colOff>
      <xdr:row>161</xdr:row>
      <xdr:rowOff>101600</xdr:rowOff>
    </xdr:from>
    <xdr:to>
      <xdr:col>6</xdr:col>
      <xdr:colOff>82550</xdr:colOff>
      <xdr:row>163</xdr:row>
      <xdr:rowOff>101600</xdr:rowOff>
    </xdr:to>
    <xdr:sp macro="" textlink="">
      <xdr:nvSpPr>
        <xdr:cNvPr id="1828" name="Rectangle: Rounded Corners 1827">
          <a:extLst>
            <a:ext uri="{FF2B5EF4-FFF2-40B4-BE49-F238E27FC236}">
              <a16:creationId xmlns:a16="http://schemas.microsoft.com/office/drawing/2014/main" id="{7105103B-3539-4CD7-A256-0D159338500D}"/>
            </a:ext>
          </a:extLst>
        </xdr:cNvPr>
        <xdr:cNvSpPr/>
      </xdr:nvSpPr>
      <xdr:spPr>
        <a:xfrm>
          <a:off x="3479800" y="31146750"/>
          <a:ext cx="482600" cy="381000"/>
        </a:xfrm>
        <a:prstGeom prst="roundRect">
          <a:avLst/>
        </a:prstGeom>
        <a:blipFill>
          <a:blip xmlns:r="http://schemas.openxmlformats.org/officeDocument/2006/relationships" r:embed="rId40"/>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6</xdr:col>
      <xdr:colOff>25400</xdr:colOff>
      <xdr:row>140</xdr:row>
      <xdr:rowOff>120650</xdr:rowOff>
    </xdr:from>
    <xdr:to>
      <xdr:col>7</xdr:col>
      <xdr:colOff>63500</xdr:colOff>
      <xdr:row>143</xdr:row>
      <xdr:rowOff>177800</xdr:rowOff>
    </xdr:to>
    <xdr:sp macro="" textlink="">
      <xdr:nvSpPr>
        <xdr:cNvPr id="1829" name="Rectangle: Rounded Corners 1828">
          <a:extLst>
            <a:ext uri="{FF2B5EF4-FFF2-40B4-BE49-F238E27FC236}">
              <a16:creationId xmlns:a16="http://schemas.microsoft.com/office/drawing/2014/main" id="{2ED88192-E629-472B-BD1D-BD6922378A44}"/>
            </a:ext>
          </a:extLst>
        </xdr:cNvPr>
        <xdr:cNvSpPr/>
      </xdr:nvSpPr>
      <xdr:spPr>
        <a:xfrm>
          <a:off x="3905250" y="27114500"/>
          <a:ext cx="679450" cy="641350"/>
        </a:xfrm>
        <a:prstGeom prst="roundRect">
          <a:avLst/>
        </a:prstGeom>
        <a:blipFill>
          <a:blip xmlns:r="http://schemas.openxmlformats.org/officeDocument/2006/relationships" r:embed="rId41"/>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153</xdr:row>
      <xdr:rowOff>0</xdr:rowOff>
    </xdr:from>
    <xdr:to>
      <xdr:col>1</xdr:col>
      <xdr:colOff>0</xdr:colOff>
      <xdr:row>157</xdr:row>
      <xdr:rowOff>6350</xdr:rowOff>
    </xdr:to>
    <xdr:sp macro="" textlink="">
      <xdr:nvSpPr>
        <xdr:cNvPr id="5421" name="Rectangle: Rounded Corners 5420">
          <a:extLst>
            <a:ext uri="{FF2B5EF4-FFF2-40B4-BE49-F238E27FC236}">
              <a16:creationId xmlns:a16="http://schemas.microsoft.com/office/drawing/2014/main" id="{E011647F-AA84-4F22-9EE2-1C69779A1B23}"/>
            </a:ext>
          </a:extLst>
        </xdr:cNvPr>
        <xdr:cNvSpPr/>
      </xdr:nvSpPr>
      <xdr:spPr>
        <a:xfrm>
          <a:off x="38100" y="29610050"/>
          <a:ext cx="755650" cy="781050"/>
        </a:xfrm>
        <a:prstGeom prst="roundRect">
          <a:avLst/>
        </a:prstGeom>
        <a:blipFill>
          <a:blip xmlns:r="http://schemas.openxmlformats.org/officeDocument/2006/relationships" r:embed="rId1"/>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590550</xdr:colOff>
      <xdr:row>153</xdr:row>
      <xdr:rowOff>6350</xdr:rowOff>
    </xdr:from>
    <xdr:to>
      <xdr:col>5</xdr:col>
      <xdr:colOff>50800</xdr:colOff>
      <xdr:row>157</xdr:row>
      <xdr:rowOff>12700</xdr:rowOff>
    </xdr:to>
    <xdr:sp macro="" textlink="">
      <xdr:nvSpPr>
        <xdr:cNvPr id="5422" name="Rectangle: Rounded Corners 5421">
          <a:extLst>
            <a:ext uri="{FF2B5EF4-FFF2-40B4-BE49-F238E27FC236}">
              <a16:creationId xmlns:a16="http://schemas.microsoft.com/office/drawing/2014/main" id="{21D75151-B2CB-4438-9344-FC0788D87CC9}"/>
            </a:ext>
          </a:extLst>
        </xdr:cNvPr>
        <xdr:cNvSpPr/>
      </xdr:nvSpPr>
      <xdr:spPr>
        <a:xfrm>
          <a:off x="2470150" y="29616400"/>
          <a:ext cx="755650" cy="781050"/>
        </a:xfrm>
        <a:prstGeom prst="roundRect">
          <a:avLst/>
        </a:prstGeom>
        <a:blipFill>
          <a:blip xmlns:r="http://schemas.openxmlformats.org/officeDocument/2006/relationships" r:embed="rId2"/>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177800</xdr:colOff>
      <xdr:row>161</xdr:row>
      <xdr:rowOff>76200</xdr:rowOff>
    </xdr:from>
    <xdr:to>
      <xdr:col>1</xdr:col>
      <xdr:colOff>139700</xdr:colOff>
      <xdr:row>165</xdr:row>
      <xdr:rowOff>95250</xdr:rowOff>
    </xdr:to>
    <xdr:sp macro="" textlink="">
      <xdr:nvSpPr>
        <xdr:cNvPr id="5429" name="Rectangle: Rounded Corners 5428">
          <a:extLst>
            <a:ext uri="{FF2B5EF4-FFF2-40B4-BE49-F238E27FC236}">
              <a16:creationId xmlns:a16="http://schemas.microsoft.com/office/drawing/2014/main" id="{861B1B6F-8F40-4239-B59E-7968BE9680EE}"/>
            </a:ext>
          </a:extLst>
        </xdr:cNvPr>
        <xdr:cNvSpPr/>
      </xdr:nvSpPr>
      <xdr:spPr>
        <a:xfrm>
          <a:off x="177800" y="31235650"/>
          <a:ext cx="755650" cy="781050"/>
        </a:xfrm>
        <a:prstGeom prst="roundRect">
          <a:avLst/>
        </a:prstGeom>
        <a:blipFill>
          <a:blip xmlns:r="http://schemas.openxmlformats.org/officeDocument/2006/relationships" r:embed="rId3"/>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450850</xdr:colOff>
      <xdr:row>161</xdr:row>
      <xdr:rowOff>76200</xdr:rowOff>
    </xdr:from>
    <xdr:to>
      <xdr:col>4</xdr:col>
      <xdr:colOff>558800</xdr:colOff>
      <xdr:row>165</xdr:row>
      <xdr:rowOff>95250</xdr:rowOff>
    </xdr:to>
    <xdr:sp macro="" textlink="">
      <xdr:nvSpPr>
        <xdr:cNvPr id="5434" name="Rectangle: Rounded Corners 5433">
          <a:extLst>
            <a:ext uri="{FF2B5EF4-FFF2-40B4-BE49-F238E27FC236}">
              <a16:creationId xmlns:a16="http://schemas.microsoft.com/office/drawing/2014/main" id="{3D5C50EE-87A6-4E40-AE4C-5ECFA0706847}"/>
            </a:ext>
          </a:extLst>
        </xdr:cNvPr>
        <xdr:cNvSpPr/>
      </xdr:nvSpPr>
      <xdr:spPr>
        <a:xfrm>
          <a:off x="2330450" y="31235650"/>
          <a:ext cx="755650" cy="781050"/>
        </a:xfrm>
        <a:prstGeom prst="roundRect">
          <a:avLst/>
        </a:prstGeom>
        <a:blipFill>
          <a:blip xmlns:r="http://schemas.openxmlformats.org/officeDocument/2006/relationships" r:embed="rId4"/>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5</xdr:col>
      <xdr:colOff>228600</xdr:colOff>
      <xdr:row>162</xdr:row>
      <xdr:rowOff>152400</xdr:rowOff>
    </xdr:from>
    <xdr:to>
      <xdr:col>6</xdr:col>
      <xdr:colOff>63500</xdr:colOff>
      <xdr:row>164</xdr:row>
      <xdr:rowOff>152400</xdr:rowOff>
    </xdr:to>
    <xdr:sp macro="" textlink="">
      <xdr:nvSpPr>
        <xdr:cNvPr id="5442" name="Rectangle: Rounded Corners 5441">
          <a:extLst>
            <a:ext uri="{FF2B5EF4-FFF2-40B4-BE49-F238E27FC236}">
              <a16:creationId xmlns:a16="http://schemas.microsoft.com/office/drawing/2014/main" id="{ED1F10E8-67E1-4D07-B4E1-9D632DD9E4E1}"/>
            </a:ext>
          </a:extLst>
        </xdr:cNvPr>
        <xdr:cNvSpPr/>
      </xdr:nvSpPr>
      <xdr:spPr>
        <a:xfrm>
          <a:off x="3403600" y="31502350"/>
          <a:ext cx="482600" cy="381000"/>
        </a:xfrm>
        <a:prstGeom prst="roundRect">
          <a:avLst/>
        </a:prstGeom>
        <a:blipFill>
          <a:blip xmlns:r="http://schemas.openxmlformats.org/officeDocument/2006/relationships" r:embed="rId5"/>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88900</xdr:colOff>
      <xdr:row>134</xdr:row>
      <xdr:rowOff>76200</xdr:rowOff>
    </xdr:from>
    <xdr:to>
      <xdr:col>0</xdr:col>
      <xdr:colOff>762000</xdr:colOff>
      <xdr:row>137</xdr:row>
      <xdr:rowOff>60080</xdr:rowOff>
    </xdr:to>
    <xdr:sp macro="" textlink="">
      <xdr:nvSpPr>
        <xdr:cNvPr id="60" name="Rectangle: Rounded Corners 59">
          <a:extLst>
            <a:ext uri="{FF2B5EF4-FFF2-40B4-BE49-F238E27FC236}">
              <a16:creationId xmlns:a16="http://schemas.microsoft.com/office/drawing/2014/main" id="{DB2F063E-7A4A-4095-9A90-0A610BF3B2E9}"/>
            </a:ext>
          </a:extLst>
        </xdr:cNvPr>
        <xdr:cNvSpPr/>
      </xdr:nvSpPr>
      <xdr:spPr>
        <a:xfrm>
          <a:off x="88900" y="26028650"/>
          <a:ext cx="673100" cy="568080"/>
        </a:xfrm>
        <a:prstGeom prst="roundRect">
          <a:avLst/>
        </a:prstGeom>
        <a:blipFill>
          <a:blip xmlns:r="http://schemas.openxmlformats.org/officeDocument/2006/relationships" r:embed="rId6"/>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31750</xdr:colOff>
      <xdr:row>137</xdr:row>
      <xdr:rowOff>88900</xdr:rowOff>
    </xdr:from>
    <xdr:to>
      <xdr:col>0</xdr:col>
      <xdr:colOff>723900</xdr:colOff>
      <xdr:row>140</xdr:row>
      <xdr:rowOff>129930</xdr:rowOff>
    </xdr:to>
    <xdr:sp macro="" textlink="">
      <xdr:nvSpPr>
        <xdr:cNvPr id="61" name="Rectangle: Rounded Corners 60">
          <a:extLst>
            <a:ext uri="{FF2B5EF4-FFF2-40B4-BE49-F238E27FC236}">
              <a16:creationId xmlns:a16="http://schemas.microsoft.com/office/drawing/2014/main" id="{58448778-9BD2-405F-8741-D56E81C5EDD4}"/>
            </a:ext>
          </a:extLst>
        </xdr:cNvPr>
        <xdr:cNvSpPr/>
      </xdr:nvSpPr>
      <xdr:spPr>
        <a:xfrm>
          <a:off x="31750" y="26625550"/>
          <a:ext cx="692150" cy="625230"/>
        </a:xfrm>
        <a:prstGeom prst="roundRect">
          <a:avLst/>
        </a:prstGeom>
        <a:blipFill>
          <a:blip xmlns:r="http://schemas.openxmlformats.org/officeDocument/2006/relationships" r:embed="rId7"/>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44450</xdr:colOff>
      <xdr:row>140</xdr:row>
      <xdr:rowOff>120650</xdr:rowOff>
    </xdr:from>
    <xdr:to>
      <xdr:col>0</xdr:col>
      <xdr:colOff>711200</xdr:colOff>
      <xdr:row>143</xdr:row>
      <xdr:rowOff>110880</xdr:rowOff>
    </xdr:to>
    <xdr:sp macro="" textlink="">
      <xdr:nvSpPr>
        <xdr:cNvPr id="62" name="Rectangle: Rounded Corners 61">
          <a:extLst>
            <a:ext uri="{FF2B5EF4-FFF2-40B4-BE49-F238E27FC236}">
              <a16:creationId xmlns:a16="http://schemas.microsoft.com/office/drawing/2014/main" id="{E2A525EC-8C2C-46CC-B434-29AF9CF25365}"/>
            </a:ext>
          </a:extLst>
        </xdr:cNvPr>
        <xdr:cNvSpPr/>
      </xdr:nvSpPr>
      <xdr:spPr>
        <a:xfrm>
          <a:off x="44450" y="27241500"/>
          <a:ext cx="666750" cy="561730"/>
        </a:xfrm>
        <a:prstGeom prst="roundRect">
          <a:avLst/>
        </a:prstGeom>
        <a:blipFill>
          <a:blip xmlns:r="http://schemas.openxmlformats.org/officeDocument/2006/relationships" r:embed="rId8"/>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57150</xdr:colOff>
      <xdr:row>143</xdr:row>
      <xdr:rowOff>133350</xdr:rowOff>
    </xdr:from>
    <xdr:to>
      <xdr:col>0</xdr:col>
      <xdr:colOff>742950</xdr:colOff>
      <xdr:row>146</xdr:row>
      <xdr:rowOff>114300</xdr:rowOff>
    </xdr:to>
    <xdr:sp macro="" textlink="">
      <xdr:nvSpPr>
        <xdr:cNvPr id="63" name="Rectangle: Rounded Corners 62">
          <a:extLst>
            <a:ext uri="{FF2B5EF4-FFF2-40B4-BE49-F238E27FC236}">
              <a16:creationId xmlns:a16="http://schemas.microsoft.com/office/drawing/2014/main" id="{B52BFDA6-0DB1-4398-BE7A-8865155315EB}"/>
            </a:ext>
          </a:extLst>
        </xdr:cNvPr>
        <xdr:cNvSpPr/>
      </xdr:nvSpPr>
      <xdr:spPr>
        <a:xfrm>
          <a:off x="57150" y="27825700"/>
          <a:ext cx="685800" cy="552450"/>
        </a:xfrm>
        <a:prstGeom prst="roundRect">
          <a:avLst/>
        </a:prstGeom>
        <a:blipFill>
          <a:blip xmlns:r="http://schemas.openxmlformats.org/officeDocument/2006/relationships" r:embed="rId9"/>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6</xdr:col>
      <xdr:colOff>19050</xdr:colOff>
      <xdr:row>134</xdr:row>
      <xdr:rowOff>171450</xdr:rowOff>
    </xdr:from>
    <xdr:to>
      <xdr:col>7</xdr:col>
      <xdr:colOff>50800</xdr:colOff>
      <xdr:row>138</xdr:row>
      <xdr:rowOff>38100</xdr:rowOff>
    </xdr:to>
    <xdr:sp macro="" textlink="">
      <xdr:nvSpPr>
        <xdr:cNvPr id="5418" name="Rectangle: Rounded Corners 5417">
          <a:extLst>
            <a:ext uri="{FF2B5EF4-FFF2-40B4-BE49-F238E27FC236}">
              <a16:creationId xmlns:a16="http://schemas.microsoft.com/office/drawing/2014/main" id="{96A5C9E4-F505-4A9A-ABBD-9CD4D9CD5B8B}"/>
            </a:ext>
          </a:extLst>
        </xdr:cNvPr>
        <xdr:cNvSpPr/>
      </xdr:nvSpPr>
      <xdr:spPr>
        <a:xfrm>
          <a:off x="3841750" y="26123900"/>
          <a:ext cx="679450" cy="641350"/>
        </a:xfrm>
        <a:prstGeom prst="roundRect">
          <a:avLst/>
        </a:prstGeom>
        <a:blipFill>
          <a:blip xmlns:r="http://schemas.openxmlformats.org/officeDocument/2006/relationships" r:embed="rId10"/>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8</xdr:col>
      <xdr:colOff>660400</xdr:colOff>
      <xdr:row>135</xdr:row>
      <xdr:rowOff>50800</xdr:rowOff>
    </xdr:from>
    <xdr:to>
      <xdr:col>9</xdr:col>
      <xdr:colOff>635000</xdr:colOff>
      <xdr:row>138</xdr:row>
      <xdr:rowOff>88900</xdr:rowOff>
    </xdr:to>
    <xdr:sp macro="" textlink="">
      <xdr:nvSpPr>
        <xdr:cNvPr id="5420" name="Rectangle: Rounded Corners 5419">
          <a:extLst>
            <a:ext uri="{FF2B5EF4-FFF2-40B4-BE49-F238E27FC236}">
              <a16:creationId xmlns:a16="http://schemas.microsoft.com/office/drawing/2014/main" id="{30055BC9-FABD-4F92-BF92-67FDB9EE85F9}"/>
            </a:ext>
          </a:extLst>
        </xdr:cNvPr>
        <xdr:cNvSpPr/>
      </xdr:nvSpPr>
      <xdr:spPr>
        <a:xfrm>
          <a:off x="5778500" y="26206450"/>
          <a:ext cx="679450" cy="609600"/>
        </a:xfrm>
        <a:prstGeom prst="roundRect">
          <a:avLst/>
        </a:prstGeom>
        <a:blipFill>
          <a:blip xmlns:r="http://schemas.openxmlformats.org/officeDocument/2006/relationships" r:embed="rId11"/>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63500</xdr:colOff>
      <xdr:row>128</xdr:row>
      <xdr:rowOff>63500</xdr:rowOff>
    </xdr:from>
    <xdr:to>
      <xdr:col>0</xdr:col>
      <xdr:colOff>762000</xdr:colOff>
      <xdr:row>132</xdr:row>
      <xdr:rowOff>136280</xdr:rowOff>
    </xdr:to>
    <xdr:sp macro="" textlink="">
      <xdr:nvSpPr>
        <xdr:cNvPr id="56" name="Rectangle: Rounded Corners 55">
          <a:extLst>
            <a:ext uri="{FF2B5EF4-FFF2-40B4-BE49-F238E27FC236}">
              <a16:creationId xmlns:a16="http://schemas.microsoft.com/office/drawing/2014/main" id="{12EDD604-FC1B-4205-A6B3-F705A724A043}"/>
            </a:ext>
          </a:extLst>
        </xdr:cNvPr>
        <xdr:cNvSpPr/>
      </xdr:nvSpPr>
      <xdr:spPr>
        <a:xfrm>
          <a:off x="63500" y="24872950"/>
          <a:ext cx="698500" cy="834780"/>
        </a:xfrm>
        <a:prstGeom prst="roundRect">
          <a:avLst/>
        </a:prstGeom>
        <a:blipFill>
          <a:blip xmlns:r="http://schemas.openxmlformats.org/officeDocument/2006/relationships" r:embed="rId12"/>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241300</xdr:colOff>
      <xdr:row>126</xdr:row>
      <xdr:rowOff>6350</xdr:rowOff>
    </xdr:from>
    <xdr:to>
      <xdr:col>4</xdr:col>
      <xdr:colOff>222250</xdr:colOff>
      <xdr:row>129</xdr:row>
      <xdr:rowOff>72780</xdr:rowOff>
    </xdr:to>
    <xdr:sp macro="" textlink="">
      <xdr:nvSpPr>
        <xdr:cNvPr id="57" name="Rectangle: Rounded Corners 56">
          <a:extLst>
            <a:ext uri="{FF2B5EF4-FFF2-40B4-BE49-F238E27FC236}">
              <a16:creationId xmlns:a16="http://schemas.microsoft.com/office/drawing/2014/main" id="{F9A02067-8BC9-4ABB-9EE1-89EDF3B1CD49}"/>
            </a:ext>
          </a:extLst>
        </xdr:cNvPr>
        <xdr:cNvSpPr/>
      </xdr:nvSpPr>
      <xdr:spPr>
        <a:xfrm>
          <a:off x="2120900" y="24409400"/>
          <a:ext cx="628650" cy="663330"/>
        </a:xfrm>
        <a:prstGeom prst="roundRect">
          <a:avLst/>
        </a:prstGeom>
        <a:blipFill>
          <a:blip xmlns:r="http://schemas.openxmlformats.org/officeDocument/2006/relationships" r:embed="rId13"/>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5</xdr:col>
      <xdr:colOff>558800</xdr:colOff>
      <xdr:row>128</xdr:row>
      <xdr:rowOff>44450</xdr:rowOff>
    </xdr:from>
    <xdr:to>
      <xdr:col>6</xdr:col>
      <xdr:colOff>584200</xdr:colOff>
      <xdr:row>131</xdr:row>
      <xdr:rowOff>98180</xdr:rowOff>
    </xdr:to>
    <xdr:sp macro="" textlink="">
      <xdr:nvSpPr>
        <xdr:cNvPr id="58" name="Rectangle: Rounded Corners 57">
          <a:extLst>
            <a:ext uri="{FF2B5EF4-FFF2-40B4-BE49-F238E27FC236}">
              <a16:creationId xmlns:a16="http://schemas.microsoft.com/office/drawing/2014/main" id="{8C420845-2630-4544-8382-EEA57175D11C}"/>
            </a:ext>
          </a:extLst>
        </xdr:cNvPr>
        <xdr:cNvSpPr/>
      </xdr:nvSpPr>
      <xdr:spPr>
        <a:xfrm>
          <a:off x="3733800" y="24853900"/>
          <a:ext cx="673100" cy="625230"/>
        </a:xfrm>
        <a:prstGeom prst="roundRect">
          <a:avLst/>
        </a:prstGeom>
        <a:blipFill>
          <a:blip xmlns:r="http://schemas.openxmlformats.org/officeDocument/2006/relationships" r:embed="rId14"/>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88900</xdr:colOff>
      <xdr:row>126</xdr:row>
      <xdr:rowOff>101600</xdr:rowOff>
    </xdr:from>
    <xdr:to>
      <xdr:col>8</xdr:col>
      <xdr:colOff>114300</xdr:colOff>
      <xdr:row>129</xdr:row>
      <xdr:rowOff>129930</xdr:rowOff>
    </xdr:to>
    <xdr:sp macro="" textlink="">
      <xdr:nvSpPr>
        <xdr:cNvPr id="59" name="Rectangle: Rounded Corners 58">
          <a:extLst>
            <a:ext uri="{FF2B5EF4-FFF2-40B4-BE49-F238E27FC236}">
              <a16:creationId xmlns:a16="http://schemas.microsoft.com/office/drawing/2014/main" id="{01A3458F-7885-414F-AAC8-3C79F2A72429}"/>
            </a:ext>
          </a:extLst>
        </xdr:cNvPr>
        <xdr:cNvSpPr/>
      </xdr:nvSpPr>
      <xdr:spPr>
        <a:xfrm>
          <a:off x="4559300" y="24504650"/>
          <a:ext cx="673100" cy="625230"/>
        </a:xfrm>
        <a:prstGeom prst="roundRect">
          <a:avLst/>
        </a:prstGeom>
        <a:blipFill>
          <a:blip xmlns:r="http://schemas.openxmlformats.org/officeDocument/2006/relationships" r:embed="rId15"/>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63500</xdr:colOff>
      <xdr:row>119</xdr:row>
      <xdr:rowOff>25400</xdr:rowOff>
    </xdr:from>
    <xdr:to>
      <xdr:col>0</xdr:col>
      <xdr:colOff>762000</xdr:colOff>
      <xdr:row>123</xdr:row>
      <xdr:rowOff>85480</xdr:rowOff>
    </xdr:to>
    <xdr:sp macro="" textlink="">
      <xdr:nvSpPr>
        <xdr:cNvPr id="53" name="Rectangle: Rounded Corners 52">
          <a:extLst>
            <a:ext uri="{FF2B5EF4-FFF2-40B4-BE49-F238E27FC236}">
              <a16:creationId xmlns:a16="http://schemas.microsoft.com/office/drawing/2014/main" id="{25776877-A576-4C42-83D6-C175ADFB3CE6}"/>
            </a:ext>
          </a:extLst>
        </xdr:cNvPr>
        <xdr:cNvSpPr/>
      </xdr:nvSpPr>
      <xdr:spPr>
        <a:xfrm>
          <a:off x="63500" y="23094950"/>
          <a:ext cx="698500" cy="822080"/>
        </a:xfrm>
        <a:prstGeom prst="roundRect">
          <a:avLst/>
        </a:prstGeom>
        <a:blipFill>
          <a:blip xmlns:r="http://schemas.openxmlformats.org/officeDocument/2006/relationships" r:embed="rId16"/>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387350</xdr:colOff>
      <xdr:row>118</xdr:row>
      <xdr:rowOff>171450</xdr:rowOff>
    </xdr:from>
    <xdr:to>
      <xdr:col>4</xdr:col>
      <xdr:colOff>438150</xdr:colOff>
      <xdr:row>123</xdr:row>
      <xdr:rowOff>28330</xdr:rowOff>
    </xdr:to>
    <xdr:sp macro="" textlink="">
      <xdr:nvSpPr>
        <xdr:cNvPr id="54" name="Rectangle: Rounded Corners 53">
          <a:extLst>
            <a:ext uri="{FF2B5EF4-FFF2-40B4-BE49-F238E27FC236}">
              <a16:creationId xmlns:a16="http://schemas.microsoft.com/office/drawing/2014/main" id="{6870516D-0D3A-46C1-87ED-85408EBB0654}"/>
            </a:ext>
          </a:extLst>
        </xdr:cNvPr>
        <xdr:cNvSpPr/>
      </xdr:nvSpPr>
      <xdr:spPr>
        <a:xfrm>
          <a:off x="2266950" y="23037800"/>
          <a:ext cx="698500" cy="822080"/>
        </a:xfrm>
        <a:prstGeom prst="roundRect">
          <a:avLst/>
        </a:prstGeom>
        <a:blipFill>
          <a:blip xmlns:r="http://schemas.openxmlformats.org/officeDocument/2006/relationships" r:embed="rId17"/>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6</xdr:col>
      <xdr:colOff>609600</xdr:colOff>
      <xdr:row>118</xdr:row>
      <xdr:rowOff>63500</xdr:rowOff>
    </xdr:from>
    <xdr:to>
      <xdr:col>8</xdr:col>
      <xdr:colOff>133350</xdr:colOff>
      <xdr:row>123</xdr:row>
      <xdr:rowOff>101600</xdr:rowOff>
    </xdr:to>
    <xdr:sp macro="" textlink="">
      <xdr:nvSpPr>
        <xdr:cNvPr id="55" name="Rectangle: Rounded Corners 54">
          <a:extLst>
            <a:ext uri="{FF2B5EF4-FFF2-40B4-BE49-F238E27FC236}">
              <a16:creationId xmlns:a16="http://schemas.microsoft.com/office/drawing/2014/main" id="{72C31F75-54AE-4C4C-88C3-33A8BC352798}"/>
            </a:ext>
          </a:extLst>
        </xdr:cNvPr>
        <xdr:cNvSpPr/>
      </xdr:nvSpPr>
      <xdr:spPr>
        <a:xfrm>
          <a:off x="4432300" y="22929850"/>
          <a:ext cx="819150" cy="1003300"/>
        </a:xfrm>
        <a:prstGeom prst="roundRect">
          <a:avLst/>
        </a:prstGeom>
        <a:blipFill>
          <a:blip xmlns:r="http://schemas.openxmlformats.org/officeDocument/2006/relationships" r:embed="rId18"/>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69850</xdr:colOff>
      <xdr:row>111</xdr:row>
      <xdr:rowOff>188546</xdr:rowOff>
    </xdr:from>
    <xdr:to>
      <xdr:col>1</xdr:col>
      <xdr:colOff>8791</xdr:colOff>
      <xdr:row>116</xdr:row>
      <xdr:rowOff>20026</xdr:rowOff>
    </xdr:to>
    <xdr:sp macro="" textlink="">
      <xdr:nvSpPr>
        <xdr:cNvPr id="50" name="Rectangle: Rounded Corners 49">
          <a:extLst>
            <a:ext uri="{FF2B5EF4-FFF2-40B4-BE49-F238E27FC236}">
              <a16:creationId xmlns:a16="http://schemas.microsoft.com/office/drawing/2014/main" id="{E5CD62EE-68A2-4BA6-9E8E-345578A47FAB}"/>
            </a:ext>
          </a:extLst>
        </xdr:cNvPr>
        <xdr:cNvSpPr/>
      </xdr:nvSpPr>
      <xdr:spPr>
        <a:xfrm>
          <a:off x="69850" y="21708696"/>
          <a:ext cx="732691" cy="796680"/>
        </a:xfrm>
        <a:prstGeom prst="roundRect">
          <a:avLst/>
        </a:prstGeom>
        <a:blipFill>
          <a:blip xmlns:r="http://schemas.openxmlformats.org/officeDocument/2006/relationships" r:embed="rId19"/>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296984</xdr:colOff>
      <xdr:row>111</xdr:row>
      <xdr:rowOff>152400</xdr:rowOff>
    </xdr:from>
    <xdr:to>
      <xdr:col>4</xdr:col>
      <xdr:colOff>468434</xdr:colOff>
      <xdr:row>116</xdr:row>
      <xdr:rowOff>60080</xdr:rowOff>
    </xdr:to>
    <xdr:sp macro="" textlink="">
      <xdr:nvSpPr>
        <xdr:cNvPr id="51" name="Rectangle: Rounded Corners 50">
          <a:extLst>
            <a:ext uri="{FF2B5EF4-FFF2-40B4-BE49-F238E27FC236}">
              <a16:creationId xmlns:a16="http://schemas.microsoft.com/office/drawing/2014/main" id="{A43187D8-507A-4C21-9ECF-68CD189D5756}"/>
            </a:ext>
          </a:extLst>
        </xdr:cNvPr>
        <xdr:cNvSpPr/>
      </xdr:nvSpPr>
      <xdr:spPr>
        <a:xfrm>
          <a:off x="2176584" y="21672550"/>
          <a:ext cx="819150" cy="872880"/>
        </a:xfrm>
        <a:prstGeom prst="roundRect">
          <a:avLst/>
        </a:prstGeom>
        <a:blipFill>
          <a:blip xmlns:r="http://schemas.openxmlformats.org/officeDocument/2006/relationships" r:embed="rId20"/>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6</xdr:col>
      <xdr:colOff>576384</xdr:colOff>
      <xdr:row>111</xdr:row>
      <xdr:rowOff>133350</xdr:rowOff>
    </xdr:from>
    <xdr:to>
      <xdr:col>8</xdr:col>
      <xdr:colOff>100134</xdr:colOff>
      <xdr:row>116</xdr:row>
      <xdr:rowOff>41030</xdr:rowOff>
    </xdr:to>
    <xdr:sp macro="" textlink="">
      <xdr:nvSpPr>
        <xdr:cNvPr id="52" name="Rectangle: Rounded Corners 51">
          <a:extLst>
            <a:ext uri="{FF2B5EF4-FFF2-40B4-BE49-F238E27FC236}">
              <a16:creationId xmlns:a16="http://schemas.microsoft.com/office/drawing/2014/main" id="{47DC5371-1FA2-4D8C-8FF2-8F6AE5613A9F}"/>
            </a:ext>
          </a:extLst>
        </xdr:cNvPr>
        <xdr:cNvSpPr/>
      </xdr:nvSpPr>
      <xdr:spPr>
        <a:xfrm>
          <a:off x="4399084" y="21653500"/>
          <a:ext cx="819150" cy="872880"/>
        </a:xfrm>
        <a:prstGeom prst="roundRect">
          <a:avLst/>
        </a:prstGeom>
        <a:blipFill>
          <a:blip xmlns:r="http://schemas.openxmlformats.org/officeDocument/2006/relationships" r:embed="rId21"/>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63500</xdr:colOff>
      <xdr:row>103</xdr:row>
      <xdr:rowOff>12700</xdr:rowOff>
    </xdr:from>
    <xdr:to>
      <xdr:col>1</xdr:col>
      <xdr:colOff>1953</xdr:colOff>
      <xdr:row>107</xdr:row>
      <xdr:rowOff>42007</xdr:rowOff>
    </xdr:to>
    <xdr:sp macro="" textlink="">
      <xdr:nvSpPr>
        <xdr:cNvPr id="49" name="Rectangle: Rounded Corners 48">
          <a:extLst>
            <a:ext uri="{FF2B5EF4-FFF2-40B4-BE49-F238E27FC236}">
              <a16:creationId xmlns:a16="http://schemas.microsoft.com/office/drawing/2014/main" id="{80D57837-F6C7-4F15-8C7F-727FFE716B19}"/>
            </a:ext>
          </a:extLst>
        </xdr:cNvPr>
        <xdr:cNvSpPr/>
      </xdr:nvSpPr>
      <xdr:spPr>
        <a:xfrm>
          <a:off x="63500" y="20021550"/>
          <a:ext cx="732203" cy="791307"/>
        </a:xfrm>
        <a:prstGeom prst="roundRect">
          <a:avLst/>
        </a:prstGeom>
        <a:blipFill>
          <a:blip xmlns:r="http://schemas.openxmlformats.org/officeDocument/2006/relationships" r:embed="rId22"/>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4</xdr:col>
      <xdr:colOff>266700</xdr:colOff>
      <xdr:row>80</xdr:row>
      <xdr:rowOff>12700</xdr:rowOff>
    </xdr:from>
    <xdr:to>
      <xdr:col>5</xdr:col>
      <xdr:colOff>545123</xdr:colOff>
      <xdr:row>82</xdr:row>
      <xdr:rowOff>181219</xdr:rowOff>
    </xdr:to>
    <xdr:sp macro="" textlink="">
      <xdr:nvSpPr>
        <xdr:cNvPr id="46" name="Rectangle: Rounded Corners 45">
          <a:extLst>
            <a:ext uri="{FF2B5EF4-FFF2-40B4-BE49-F238E27FC236}">
              <a16:creationId xmlns:a16="http://schemas.microsoft.com/office/drawing/2014/main" id="{A4DCA7E9-1BC2-485F-AC7C-5D454A163344}"/>
            </a:ext>
          </a:extLst>
        </xdr:cNvPr>
        <xdr:cNvSpPr/>
      </xdr:nvSpPr>
      <xdr:spPr>
        <a:xfrm>
          <a:off x="2794000" y="15563850"/>
          <a:ext cx="926123" cy="574919"/>
        </a:xfrm>
        <a:prstGeom prst="roundRect">
          <a:avLst/>
        </a:prstGeom>
        <a:blipFill>
          <a:blip xmlns:r="http://schemas.openxmlformats.org/officeDocument/2006/relationships" r:embed="rId23"/>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38100</xdr:colOff>
      <xdr:row>78</xdr:row>
      <xdr:rowOff>82550</xdr:rowOff>
    </xdr:from>
    <xdr:to>
      <xdr:col>0</xdr:col>
      <xdr:colOff>770792</xdr:colOff>
      <xdr:row>81</xdr:row>
      <xdr:rowOff>155819</xdr:rowOff>
    </xdr:to>
    <xdr:sp macro="" textlink="">
      <xdr:nvSpPr>
        <xdr:cNvPr id="45" name="Rectangle: Rounded Corners 44">
          <a:extLst>
            <a:ext uri="{FF2B5EF4-FFF2-40B4-BE49-F238E27FC236}">
              <a16:creationId xmlns:a16="http://schemas.microsoft.com/office/drawing/2014/main" id="{E1CAFBA0-5B83-446F-AB7D-828F5B1A697B}"/>
            </a:ext>
          </a:extLst>
        </xdr:cNvPr>
        <xdr:cNvSpPr/>
      </xdr:nvSpPr>
      <xdr:spPr>
        <a:xfrm>
          <a:off x="38100" y="15252700"/>
          <a:ext cx="732692" cy="657469"/>
        </a:xfrm>
        <a:prstGeom prst="roundRect">
          <a:avLst/>
        </a:prstGeom>
        <a:blipFill>
          <a:blip xmlns:r="http://schemas.openxmlformats.org/officeDocument/2006/relationships" r:embed="rId24"/>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69850</xdr:colOff>
      <xdr:row>69</xdr:row>
      <xdr:rowOff>25400</xdr:rowOff>
    </xdr:from>
    <xdr:to>
      <xdr:col>1</xdr:col>
      <xdr:colOff>38100</xdr:colOff>
      <xdr:row>73</xdr:row>
      <xdr:rowOff>3419</xdr:rowOff>
    </xdr:to>
    <xdr:sp macro="" textlink="">
      <xdr:nvSpPr>
        <xdr:cNvPr id="44" name="Rectangle: Rounded Corners 43">
          <a:extLst>
            <a:ext uri="{FF2B5EF4-FFF2-40B4-BE49-F238E27FC236}">
              <a16:creationId xmlns:a16="http://schemas.microsoft.com/office/drawing/2014/main" id="{BE9A7760-FACD-4B8D-8AD5-770A39A7A315}"/>
            </a:ext>
          </a:extLst>
        </xdr:cNvPr>
        <xdr:cNvSpPr/>
      </xdr:nvSpPr>
      <xdr:spPr>
        <a:xfrm>
          <a:off x="69850" y="13423900"/>
          <a:ext cx="762000" cy="771769"/>
        </a:xfrm>
        <a:prstGeom prst="roundRect">
          <a:avLst/>
        </a:prstGeom>
        <a:blipFill>
          <a:blip xmlns:r="http://schemas.openxmlformats.org/officeDocument/2006/relationships" r:embed="rId25"/>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57150</xdr:colOff>
      <xdr:row>62</xdr:row>
      <xdr:rowOff>101600</xdr:rowOff>
    </xdr:from>
    <xdr:to>
      <xdr:col>0</xdr:col>
      <xdr:colOff>716573</xdr:colOff>
      <xdr:row>65</xdr:row>
      <xdr:rowOff>194896</xdr:rowOff>
    </xdr:to>
    <xdr:sp macro="" textlink="">
      <xdr:nvSpPr>
        <xdr:cNvPr id="43" name="Rectangle: Rounded Corners 42">
          <a:extLst>
            <a:ext uri="{FF2B5EF4-FFF2-40B4-BE49-F238E27FC236}">
              <a16:creationId xmlns:a16="http://schemas.microsoft.com/office/drawing/2014/main" id="{1912324D-CFC6-4A7A-AC44-3068F3671536}"/>
            </a:ext>
          </a:extLst>
        </xdr:cNvPr>
        <xdr:cNvSpPr/>
      </xdr:nvSpPr>
      <xdr:spPr>
        <a:xfrm>
          <a:off x="57150" y="12128500"/>
          <a:ext cx="659423" cy="677496"/>
        </a:xfrm>
        <a:prstGeom prst="roundRect">
          <a:avLst/>
        </a:prstGeom>
        <a:blipFill>
          <a:blip xmlns:r="http://schemas.openxmlformats.org/officeDocument/2006/relationships" r:embed="rId26"/>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44450</xdr:colOff>
      <xdr:row>56</xdr:row>
      <xdr:rowOff>120650</xdr:rowOff>
    </xdr:from>
    <xdr:to>
      <xdr:col>0</xdr:col>
      <xdr:colOff>740508</xdr:colOff>
      <xdr:row>60</xdr:row>
      <xdr:rowOff>18074</xdr:rowOff>
    </xdr:to>
    <xdr:sp macro="" textlink="">
      <xdr:nvSpPr>
        <xdr:cNvPr id="42" name="Rectangle: Rounded Corners 41">
          <a:extLst>
            <a:ext uri="{FF2B5EF4-FFF2-40B4-BE49-F238E27FC236}">
              <a16:creationId xmlns:a16="http://schemas.microsoft.com/office/drawing/2014/main" id="{5DC2B2CD-A50B-4AEE-AC93-519C8EC1D453}"/>
            </a:ext>
          </a:extLst>
        </xdr:cNvPr>
        <xdr:cNvSpPr/>
      </xdr:nvSpPr>
      <xdr:spPr>
        <a:xfrm>
          <a:off x="44450" y="11004550"/>
          <a:ext cx="696058" cy="659424"/>
        </a:xfrm>
        <a:prstGeom prst="roundRect">
          <a:avLst/>
        </a:prstGeom>
        <a:blipFill>
          <a:blip xmlns:r="http://schemas.openxmlformats.org/officeDocument/2006/relationships" r:embed="rId27"/>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9</xdr:col>
      <xdr:colOff>979</xdr:colOff>
      <xdr:row>40</xdr:row>
      <xdr:rowOff>120650</xdr:rowOff>
    </xdr:from>
    <xdr:to>
      <xdr:col>9</xdr:col>
      <xdr:colOff>587133</xdr:colOff>
      <xdr:row>43</xdr:row>
      <xdr:rowOff>76688</xdr:rowOff>
    </xdr:to>
    <xdr:sp macro="" textlink="">
      <xdr:nvSpPr>
        <xdr:cNvPr id="34" name="Rectangle: Rounded Corners 33">
          <a:extLst>
            <a:ext uri="{FF2B5EF4-FFF2-40B4-BE49-F238E27FC236}">
              <a16:creationId xmlns:a16="http://schemas.microsoft.com/office/drawing/2014/main" id="{45D1DBBB-E134-49CF-856D-100C9796E2FE}"/>
            </a:ext>
          </a:extLst>
        </xdr:cNvPr>
        <xdr:cNvSpPr/>
      </xdr:nvSpPr>
      <xdr:spPr>
        <a:xfrm>
          <a:off x="5823929" y="7956550"/>
          <a:ext cx="586154" cy="527538"/>
        </a:xfrm>
        <a:prstGeom prst="roundRect">
          <a:avLst/>
        </a:prstGeom>
        <a:blipFill>
          <a:blip xmlns:r="http://schemas.openxmlformats.org/officeDocument/2006/relationships" r:embed="rId28"/>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50800</xdr:colOff>
      <xdr:row>41</xdr:row>
      <xdr:rowOff>11723</xdr:rowOff>
    </xdr:from>
    <xdr:to>
      <xdr:col>1</xdr:col>
      <xdr:colOff>4397</xdr:colOff>
      <xdr:row>44</xdr:row>
      <xdr:rowOff>180242</xdr:rowOff>
    </xdr:to>
    <xdr:sp macro="" textlink="">
      <xdr:nvSpPr>
        <xdr:cNvPr id="38" name="Rectangle: Rounded Corners 37">
          <a:extLst>
            <a:ext uri="{FF2B5EF4-FFF2-40B4-BE49-F238E27FC236}">
              <a16:creationId xmlns:a16="http://schemas.microsoft.com/office/drawing/2014/main" id="{472929FC-20FF-4D79-B849-26336D5DFB19}"/>
            </a:ext>
          </a:extLst>
        </xdr:cNvPr>
        <xdr:cNvSpPr/>
      </xdr:nvSpPr>
      <xdr:spPr>
        <a:xfrm>
          <a:off x="50800" y="8038123"/>
          <a:ext cx="747347" cy="740019"/>
        </a:xfrm>
        <a:prstGeom prst="roundRect">
          <a:avLst/>
        </a:prstGeom>
        <a:blipFill>
          <a:blip xmlns:r="http://schemas.openxmlformats.org/officeDocument/2006/relationships" r:embed="rId29"/>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5</xdr:col>
      <xdr:colOff>616439</xdr:colOff>
      <xdr:row>40</xdr:row>
      <xdr:rowOff>81083</xdr:rowOff>
    </xdr:from>
    <xdr:to>
      <xdr:col>7</xdr:col>
      <xdr:colOff>13678</xdr:colOff>
      <xdr:row>43</xdr:row>
      <xdr:rowOff>487</xdr:rowOff>
    </xdr:to>
    <xdr:sp macro="" textlink="">
      <xdr:nvSpPr>
        <xdr:cNvPr id="39" name="Rectangle: Rounded Corners 38">
          <a:extLst>
            <a:ext uri="{FF2B5EF4-FFF2-40B4-BE49-F238E27FC236}">
              <a16:creationId xmlns:a16="http://schemas.microsoft.com/office/drawing/2014/main" id="{22E81F11-F2F3-47EF-8CCB-DA28F6FC864E}"/>
            </a:ext>
          </a:extLst>
        </xdr:cNvPr>
        <xdr:cNvSpPr/>
      </xdr:nvSpPr>
      <xdr:spPr>
        <a:xfrm>
          <a:off x="3791439" y="7916983"/>
          <a:ext cx="692639" cy="490904"/>
        </a:xfrm>
        <a:prstGeom prst="roundRect">
          <a:avLst/>
        </a:prstGeom>
        <a:blipFill>
          <a:blip xmlns:r="http://schemas.openxmlformats.org/officeDocument/2006/relationships" r:embed="rId28"/>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6350</xdr:colOff>
      <xdr:row>14</xdr:row>
      <xdr:rowOff>44450</xdr:rowOff>
    </xdr:from>
    <xdr:to>
      <xdr:col>0</xdr:col>
      <xdr:colOff>641350</xdr:colOff>
      <xdr:row>17</xdr:row>
      <xdr:rowOff>165100</xdr:rowOff>
    </xdr:to>
    <xdr:sp macro="" textlink="">
      <xdr:nvSpPr>
        <xdr:cNvPr id="27" name="Rectangle: Rounded Corners 26">
          <a:extLst>
            <a:ext uri="{FF2B5EF4-FFF2-40B4-BE49-F238E27FC236}">
              <a16:creationId xmlns:a16="http://schemas.microsoft.com/office/drawing/2014/main" id="{CFF62688-AB8A-4BC7-B8E4-7C04201EA98A}"/>
            </a:ext>
          </a:extLst>
        </xdr:cNvPr>
        <xdr:cNvSpPr/>
      </xdr:nvSpPr>
      <xdr:spPr>
        <a:xfrm>
          <a:off x="6350" y="2914650"/>
          <a:ext cx="635000" cy="692150"/>
        </a:xfrm>
        <a:prstGeom prst="roundRect">
          <a:avLst/>
        </a:prstGeom>
        <a:blipFill>
          <a:blip xmlns:r="http://schemas.openxmlformats.org/officeDocument/2006/relationships" r:embed="rId30"/>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7</xdr:col>
          <xdr:colOff>200025</xdr:colOff>
          <xdr:row>42</xdr:row>
          <xdr:rowOff>171450</xdr:rowOff>
        </xdr:from>
        <xdr:to>
          <xdr:col>7</xdr:col>
          <xdr:colOff>447675</xdr:colOff>
          <xdr:row>44</xdr:row>
          <xdr:rowOff>9525</xdr:rowOff>
        </xdr:to>
        <xdr:sp macro="" textlink="">
          <xdr:nvSpPr>
            <xdr:cNvPr id="5289" name="Option Button 169" hidden="1">
              <a:extLst>
                <a:ext uri="{63B3BB69-23CF-44E3-9099-C40C66FF867C}">
                  <a14:compatExt spid="_x0000_s5289"/>
                </a:ext>
                <a:ext uri="{FF2B5EF4-FFF2-40B4-BE49-F238E27FC236}">
                  <a16:creationId xmlns:a16="http://schemas.microsoft.com/office/drawing/2014/main" id="{00000000-0008-0000-0300-0000A914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29</xdr:row>
          <xdr:rowOff>180975</xdr:rowOff>
        </xdr:from>
        <xdr:to>
          <xdr:col>4</xdr:col>
          <xdr:colOff>95250</xdr:colOff>
          <xdr:row>31</xdr:row>
          <xdr:rowOff>9525</xdr:rowOff>
        </xdr:to>
        <xdr:sp macro="" textlink="">
          <xdr:nvSpPr>
            <xdr:cNvPr id="5292" name="Option Button 172" hidden="1">
              <a:extLst>
                <a:ext uri="{63B3BB69-23CF-44E3-9099-C40C66FF867C}">
                  <a14:compatExt spid="_x0000_s5292"/>
                </a:ext>
                <a:ext uri="{FF2B5EF4-FFF2-40B4-BE49-F238E27FC236}">
                  <a16:creationId xmlns:a16="http://schemas.microsoft.com/office/drawing/2014/main" id="{00000000-0008-0000-0300-0000A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30</xdr:row>
          <xdr:rowOff>0</xdr:rowOff>
        </xdr:from>
        <xdr:to>
          <xdr:col>5</xdr:col>
          <xdr:colOff>95250</xdr:colOff>
          <xdr:row>31</xdr:row>
          <xdr:rowOff>19050</xdr:rowOff>
        </xdr:to>
        <xdr:sp macro="" textlink="">
          <xdr:nvSpPr>
            <xdr:cNvPr id="5293" name="Option Button 173" hidden="1">
              <a:extLst>
                <a:ext uri="{63B3BB69-23CF-44E3-9099-C40C66FF867C}">
                  <a14:compatExt spid="_x0000_s5293"/>
                </a:ext>
                <a:ext uri="{FF2B5EF4-FFF2-40B4-BE49-F238E27FC236}">
                  <a16:creationId xmlns:a16="http://schemas.microsoft.com/office/drawing/2014/main" id="{00000000-0008-0000-0300-0000A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30</xdr:row>
          <xdr:rowOff>0</xdr:rowOff>
        </xdr:from>
        <xdr:to>
          <xdr:col>7</xdr:col>
          <xdr:colOff>114300</xdr:colOff>
          <xdr:row>31</xdr:row>
          <xdr:rowOff>28575</xdr:rowOff>
        </xdr:to>
        <xdr:sp macro="" textlink="">
          <xdr:nvSpPr>
            <xdr:cNvPr id="5294" name="Option Button 174" hidden="1">
              <a:extLst>
                <a:ext uri="{63B3BB69-23CF-44E3-9099-C40C66FF867C}">
                  <a14:compatExt spid="_x0000_s5294"/>
                </a:ext>
                <a:ext uri="{FF2B5EF4-FFF2-40B4-BE49-F238E27FC236}">
                  <a16:creationId xmlns:a16="http://schemas.microsoft.com/office/drawing/2014/main" id="{00000000-0008-0000-0300-0000A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40</xdr:row>
          <xdr:rowOff>161925</xdr:rowOff>
        </xdr:from>
        <xdr:to>
          <xdr:col>4</xdr:col>
          <xdr:colOff>200025</xdr:colOff>
          <xdr:row>42</xdr:row>
          <xdr:rowOff>9525</xdr:rowOff>
        </xdr:to>
        <xdr:sp macro="" textlink="">
          <xdr:nvSpPr>
            <xdr:cNvPr id="5295" name="Option Button 175" hidden="1">
              <a:extLst>
                <a:ext uri="{63B3BB69-23CF-44E3-9099-C40C66FF867C}">
                  <a14:compatExt spid="_x0000_s5295"/>
                </a:ext>
                <a:ext uri="{FF2B5EF4-FFF2-40B4-BE49-F238E27FC236}">
                  <a16:creationId xmlns:a16="http://schemas.microsoft.com/office/drawing/2014/main" id="{00000000-0008-0000-0300-0000AF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41</xdr:row>
          <xdr:rowOff>171450</xdr:rowOff>
        </xdr:from>
        <xdr:to>
          <xdr:col>4</xdr:col>
          <xdr:colOff>200025</xdr:colOff>
          <xdr:row>43</xdr:row>
          <xdr:rowOff>9525</xdr:rowOff>
        </xdr:to>
        <xdr:sp macro="" textlink="">
          <xdr:nvSpPr>
            <xdr:cNvPr id="5296" name="Option Button 176" hidden="1">
              <a:extLst>
                <a:ext uri="{63B3BB69-23CF-44E3-9099-C40C66FF867C}">
                  <a14:compatExt spid="_x0000_s5296"/>
                </a:ext>
                <a:ext uri="{FF2B5EF4-FFF2-40B4-BE49-F238E27FC236}">
                  <a16:creationId xmlns:a16="http://schemas.microsoft.com/office/drawing/2014/main" id="{00000000-0008-0000-0300-0000B0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628650</xdr:colOff>
          <xdr:row>43</xdr:row>
          <xdr:rowOff>171450</xdr:rowOff>
        </xdr:from>
        <xdr:to>
          <xdr:col>1</xdr:col>
          <xdr:colOff>47625</xdr:colOff>
          <xdr:row>45</xdr:row>
          <xdr:rowOff>9525</xdr:rowOff>
        </xdr:to>
        <xdr:sp macro="" textlink="">
          <xdr:nvSpPr>
            <xdr:cNvPr id="5297" name="Option Button 177" hidden="1">
              <a:extLst>
                <a:ext uri="{63B3BB69-23CF-44E3-9099-C40C66FF867C}">
                  <a14:compatExt spid="_x0000_s5297"/>
                </a:ext>
                <a:ext uri="{FF2B5EF4-FFF2-40B4-BE49-F238E27FC236}">
                  <a16:creationId xmlns:a16="http://schemas.microsoft.com/office/drawing/2014/main" id="{00000000-0008-0000-0300-0000B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249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23</xdr:row>
          <xdr:rowOff>9525</xdr:rowOff>
        </xdr:from>
        <xdr:to>
          <xdr:col>1</xdr:col>
          <xdr:colOff>28575</xdr:colOff>
          <xdr:row>24</xdr:row>
          <xdr:rowOff>19050</xdr:rowOff>
        </xdr:to>
        <xdr:sp macro="" textlink="">
          <xdr:nvSpPr>
            <xdr:cNvPr id="5298" name="Option Button 178" hidden="1">
              <a:extLst>
                <a:ext uri="{63B3BB69-23CF-44E3-9099-C40C66FF867C}">
                  <a14:compatExt spid="_x0000_s5298"/>
                </a:ext>
                <a:ext uri="{FF2B5EF4-FFF2-40B4-BE49-F238E27FC236}">
                  <a16:creationId xmlns:a16="http://schemas.microsoft.com/office/drawing/2014/main" id="{00000000-0008-0000-0300-0000B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24</xdr:row>
          <xdr:rowOff>9525</xdr:rowOff>
        </xdr:from>
        <xdr:to>
          <xdr:col>1</xdr:col>
          <xdr:colOff>28575</xdr:colOff>
          <xdr:row>25</xdr:row>
          <xdr:rowOff>38100</xdr:rowOff>
        </xdr:to>
        <xdr:sp macro="" textlink="">
          <xdr:nvSpPr>
            <xdr:cNvPr id="5299" name="Option Button 179" hidden="1">
              <a:extLst>
                <a:ext uri="{63B3BB69-23CF-44E3-9099-C40C66FF867C}">
                  <a14:compatExt spid="_x0000_s5299"/>
                </a:ext>
                <a:ext uri="{FF2B5EF4-FFF2-40B4-BE49-F238E27FC236}">
                  <a16:creationId xmlns:a16="http://schemas.microsoft.com/office/drawing/2014/main" id="{00000000-0008-0000-0300-0000B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25</xdr:row>
          <xdr:rowOff>180975</xdr:rowOff>
        </xdr:from>
        <xdr:to>
          <xdr:col>1</xdr:col>
          <xdr:colOff>28575</xdr:colOff>
          <xdr:row>27</xdr:row>
          <xdr:rowOff>19050</xdr:rowOff>
        </xdr:to>
        <xdr:sp macro="" textlink="">
          <xdr:nvSpPr>
            <xdr:cNvPr id="5300" name="Option Button 180" hidden="1">
              <a:extLst>
                <a:ext uri="{63B3BB69-23CF-44E3-9099-C40C66FF867C}">
                  <a14:compatExt spid="_x0000_s5300"/>
                </a:ext>
                <a:ext uri="{FF2B5EF4-FFF2-40B4-BE49-F238E27FC236}">
                  <a16:creationId xmlns:a16="http://schemas.microsoft.com/office/drawing/2014/main" id="{00000000-0008-0000-0300-0000B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23</xdr:row>
          <xdr:rowOff>0</xdr:rowOff>
        </xdr:from>
        <xdr:to>
          <xdr:col>4</xdr:col>
          <xdr:colOff>190500</xdr:colOff>
          <xdr:row>24</xdr:row>
          <xdr:rowOff>28575</xdr:rowOff>
        </xdr:to>
        <xdr:sp macro="" textlink="">
          <xdr:nvSpPr>
            <xdr:cNvPr id="5301" name="Option Button 181" hidden="1">
              <a:extLst>
                <a:ext uri="{63B3BB69-23CF-44E3-9099-C40C66FF867C}">
                  <a14:compatExt spid="_x0000_s5301"/>
                </a:ext>
                <a:ext uri="{FF2B5EF4-FFF2-40B4-BE49-F238E27FC236}">
                  <a16:creationId xmlns:a16="http://schemas.microsoft.com/office/drawing/2014/main" id="{00000000-0008-0000-0300-0000B514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628650</xdr:colOff>
          <xdr:row>41</xdr:row>
          <xdr:rowOff>9525</xdr:rowOff>
        </xdr:from>
        <xdr:to>
          <xdr:col>1</xdr:col>
          <xdr:colOff>76200</xdr:colOff>
          <xdr:row>42</xdr:row>
          <xdr:rowOff>28575</xdr:rowOff>
        </xdr:to>
        <xdr:sp macro="" textlink="">
          <xdr:nvSpPr>
            <xdr:cNvPr id="5302" name="Option Button 182" hidden="1">
              <a:extLst>
                <a:ext uri="{63B3BB69-23CF-44E3-9099-C40C66FF867C}">
                  <a14:compatExt spid="_x0000_s5302"/>
                </a:ext>
                <a:ext uri="{FF2B5EF4-FFF2-40B4-BE49-F238E27FC236}">
                  <a16:creationId xmlns:a16="http://schemas.microsoft.com/office/drawing/2014/main" id="{00000000-0008-0000-0300-0000B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485775</xdr:colOff>
          <xdr:row>40</xdr:row>
          <xdr:rowOff>142875</xdr:rowOff>
        </xdr:from>
        <xdr:to>
          <xdr:col>10</xdr:col>
          <xdr:colOff>9525</xdr:colOff>
          <xdr:row>45</xdr:row>
          <xdr:rowOff>114300</xdr:rowOff>
        </xdr:to>
        <xdr:sp macro="" textlink="">
          <xdr:nvSpPr>
            <xdr:cNvPr id="5303" name="Group Box 183" hidden="1">
              <a:extLst>
                <a:ext uri="{63B3BB69-23CF-44E3-9099-C40C66FF867C}">
                  <a14:compatExt spid="_x0000_s5303"/>
                </a:ext>
                <a:ext uri="{FF2B5EF4-FFF2-40B4-BE49-F238E27FC236}">
                  <a16:creationId xmlns:a16="http://schemas.microsoft.com/office/drawing/2014/main" id="{00000000-0008-0000-0300-0000B7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361950</xdr:colOff>
          <xdr:row>51</xdr:row>
          <xdr:rowOff>76200</xdr:rowOff>
        </xdr:from>
        <xdr:to>
          <xdr:col>9</xdr:col>
          <xdr:colOff>552450</xdr:colOff>
          <xdr:row>54</xdr:row>
          <xdr:rowOff>123825</xdr:rowOff>
        </xdr:to>
        <xdr:sp macro="" textlink="">
          <xdr:nvSpPr>
            <xdr:cNvPr id="5304" name="Group Box 184" hidden="1">
              <a:extLst>
                <a:ext uri="{63B3BB69-23CF-44E3-9099-C40C66FF867C}">
                  <a14:compatExt spid="_x0000_s5304"/>
                </a:ext>
                <a:ext uri="{FF2B5EF4-FFF2-40B4-BE49-F238E27FC236}">
                  <a16:creationId xmlns:a16="http://schemas.microsoft.com/office/drawing/2014/main" id="{00000000-0008-0000-0300-0000B8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526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51</xdr:row>
          <xdr:rowOff>171450</xdr:rowOff>
        </xdr:from>
        <xdr:to>
          <xdr:col>2</xdr:col>
          <xdr:colOff>47625</xdr:colOff>
          <xdr:row>53</xdr:row>
          <xdr:rowOff>9525</xdr:rowOff>
        </xdr:to>
        <xdr:sp macro="" textlink="">
          <xdr:nvSpPr>
            <xdr:cNvPr id="5306" name="Option Button 186" hidden="1">
              <a:extLst>
                <a:ext uri="{63B3BB69-23CF-44E3-9099-C40C66FF867C}">
                  <a14:compatExt spid="_x0000_s5306"/>
                </a:ext>
                <a:ext uri="{FF2B5EF4-FFF2-40B4-BE49-F238E27FC236}">
                  <a16:creationId xmlns:a16="http://schemas.microsoft.com/office/drawing/2014/main" id="{00000000-0008-0000-0300-0000B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xdr:colOff>
          <xdr:row>51</xdr:row>
          <xdr:rowOff>180975</xdr:rowOff>
        </xdr:from>
        <xdr:to>
          <xdr:col>3</xdr:col>
          <xdr:colOff>0</xdr:colOff>
          <xdr:row>53</xdr:row>
          <xdr:rowOff>19050</xdr:rowOff>
        </xdr:to>
        <xdr:sp macro="" textlink="">
          <xdr:nvSpPr>
            <xdr:cNvPr id="5307" name="Option Button 187" hidden="1">
              <a:extLst>
                <a:ext uri="{63B3BB69-23CF-44E3-9099-C40C66FF867C}">
                  <a14:compatExt spid="_x0000_s5307"/>
                </a:ext>
                <a:ext uri="{FF2B5EF4-FFF2-40B4-BE49-F238E27FC236}">
                  <a16:creationId xmlns:a16="http://schemas.microsoft.com/office/drawing/2014/main" id="{00000000-0008-0000-0300-0000B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51</xdr:row>
          <xdr:rowOff>161925</xdr:rowOff>
        </xdr:from>
        <xdr:to>
          <xdr:col>4</xdr:col>
          <xdr:colOff>28575</xdr:colOff>
          <xdr:row>53</xdr:row>
          <xdr:rowOff>0</xdr:rowOff>
        </xdr:to>
        <xdr:sp macro="" textlink="">
          <xdr:nvSpPr>
            <xdr:cNvPr id="5308" name="Option Button 188" hidden="1">
              <a:extLst>
                <a:ext uri="{63B3BB69-23CF-44E3-9099-C40C66FF867C}">
                  <a14:compatExt spid="_x0000_s5308"/>
                </a:ext>
                <a:ext uri="{FF2B5EF4-FFF2-40B4-BE49-F238E27FC236}">
                  <a16:creationId xmlns:a16="http://schemas.microsoft.com/office/drawing/2014/main" id="{00000000-0008-0000-0300-0000B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51</xdr:row>
          <xdr:rowOff>161925</xdr:rowOff>
        </xdr:from>
        <xdr:to>
          <xdr:col>5</xdr:col>
          <xdr:colOff>9525</xdr:colOff>
          <xdr:row>53</xdr:row>
          <xdr:rowOff>0</xdr:rowOff>
        </xdr:to>
        <xdr:sp macro="" textlink="">
          <xdr:nvSpPr>
            <xdr:cNvPr id="5309" name="Option Button 189" hidden="1">
              <a:extLst>
                <a:ext uri="{63B3BB69-23CF-44E3-9099-C40C66FF867C}">
                  <a14:compatExt spid="_x0000_s5309"/>
                </a:ext>
                <a:ext uri="{FF2B5EF4-FFF2-40B4-BE49-F238E27FC236}">
                  <a16:creationId xmlns:a16="http://schemas.microsoft.com/office/drawing/2014/main" id="{00000000-0008-0000-0300-0000B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51</xdr:row>
          <xdr:rowOff>171450</xdr:rowOff>
        </xdr:from>
        <xdr:to>
          <xdr:col>6</xdr:col>
          <xdr:colOff>9525</xdr:colOff>
          <xdr:row>53</xdr:row>
          <xdr:rowOff>9525</xdr:rowOff>
        </xdr:to>
        <xdr:sp macro="" textlink="">
          <xdr:nvSpPr>
            <xdr:cNvPr id="5310" name="Option Button 190" hidden="1">
              <a:extLst>
                <a:ext uri="{63B3BB69-23CF-44E3-9099-C40C66FF867C}">
                  <a14:compatExt spid="_x0000_s5310"/>
                </a:ext>
                <a:ext uri="{FF2B5EF4-FFF2-40B4-BE49-F238E27FC236}">
                  <a16:creationId xmlns:a16="http://schemas.microsoft.com/office/drawing/2014/main" id="{00000000-0008-0000-0300-0000B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51</xdr:row>
          <xdr:rowOff>171450</xdr:rowOff>
        </xdr:from>
        <xdr:to>
          <xdr:col>6</xdr:col>
          <xdr:colOff>638175</xdr:colOff>
          <xdr:row>53</xdr:row>
          <xdr:rowOff>9525</xdr:rowOff>
        </xdr:to>
        <xdr:sp macro="" textlink="">
          <xdr:nvSpPr>
            <xdr:cNvPr id="5311" name="Option Button 191" hidden="1">
              <a:extLst>
                <a:ext uri="{63B3BB69-23CF-44E3-9099-C40C66FF867C}">
                  <a14:compatExt spid="_x0000_s5311"/>
                </a:ext>
                <a:ext uri="{FF2B5EF4-FFF2-40B4-BE49-F238E27FC236}">
                  <a16:creationId xmlns:a16="http://schemas.microsoft.com/office/drawing/2014/main" id="{00000000-0008-0000-0300-0000B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xdr:row>
          <xdr:rowOff>47625</xdr:rowOff>
        </xdr:from>
        <xdr:to>
          <xdr:col>9</xdr:col>
          <xdr:colOff>571500</xdr:colOff>
          <xdr:row>61</xdr:row>
          <xdr:rowOff>57150</xdr:rowOff>
        </xdr:to>
        <xdr:sp macro="" textlink="">
          <xdr:nvSpPr>
            <xdr:cNvPr id="5312" name="Group Box 192" hidden="1">
              <a:extLst>
                <a:ext uri="{63B3BB69-23CF-44E3-9099-C40C66FF867C}">
                  <a14:compatExt spid="_x0000_s5312"/>
                </a:ext>
                <a:ext uri="{FF2B5EF4-FFF2-40B4-BE49-F238E27FC236}">
                  <a16:creationId xmlns:a16="http://schemas.microsoft.com/office/drawing/2014/main" id="{00000000-0008-0000-0300-0000C0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535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628650</xdr:colOff>
          <xdr:row>56</xdr:row>
          <xdr:rowOff>180975</xdr:rowOff>
        </xdr:from>
        <xdr:to>
          <xdr:col>1</xdr:col>
          <xdr:colOff>85725</xdr:colOff>
          <xdr:row>58</xdr:row>
          <xdr:rowOff>19050</xdr:rowOff>
        </xdr:to>
        <xdr:sp macro="" textlink="">
          <xdr:nvSpPr>
            <xdr:cNvPr id="5313" name="Option Button 193" hidden="1">
              <a:extLst>
                <a:ext uri="{63B3BB69-23CF-44E3-9099-C40C66FF867C}">
                  <a14:compatExt spid="_x0000_s5313"/>
                </a:ext>
                <a:ext uri="{FF2B5EF4-FFF2-40B4-BE49-F238E27FC236}">
                  <a16:creationId xmlns:a16="http://schemas.microsoft.com/office/drawing/2014/main" id="{00000000-0008-0000-0300-0000C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56</xdr:row>
          <xdr:rowOff>171450</xdr:rowOff>
        </xdr:from>
        <xdr:to>
          <xdr:col>4</xdr:col>
          <xdr:colOff>161925</xdr:colOff>
          <xdr:row>58</xdr:row>
          <xdr:rowOff>9525</xdr:rowOff>
        </xdr:to>
        <xdr:sp macro="" textlink="">
          <xdr:nvSpPr>
            <xdr:cNvPr id="5314" name="Option Button 194" hidden="1">
              <a:extLst>
                <a:ext uri="{63B3BB69-23CF-44E3-9099-C40C66FF867C}">
                  <a14:compatExt spid="_x0000_s5314"/>
                </a:ext>
                <a:ext uri="{FF2B5EF4-FFF2-40B4-BE49-F238E27FC236}">
                  <a16:creationId xmlns:a16="http://schemas.microsoft.com/office/drawing/2014/main" id="{00000000-0008-0000-0300-0000C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57</xdr:row>
          <xdr:rowOff>0</xdr:rowOff>
        </xdr:from>
        <xdr:to>
          <xdr:col>7</xdr:col>
          <xdr:colOff>495300</xdr:colOff>
          <xdr:row>58</xdr:row>
          <xdr:rowOff>28575</xdr:rowOff>
        </xdr:to>
        <xdr:sp macro="" textlink="">
          <xdr:nvSpPr>
            <xdr:cNvPr id="5315" name="Option Button 195" hidden="1">
              <a:extLst>
                <a:ext uri="{63B3BB69-23CF-44E3-9099-C40C66FF867C}">
                  <a14:compatExt spid="_x0000_s5315"/>
                </a:ext>
                <a:ext uri="{FF2B5EF4-FFF2-40B4-BE49-F238E27FC236}">
                  <a16:creationId xmlns:a16="http://schemas.microsoft.com/office/drawing/2014/main" id="{00000000-0008-0000-0300-0000C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68</xdr:row>
          <xdr:rowOff>0</xdr:rowOff>
        </xdr:from>
        <xdr:to>
          <xdr:col>10</xdr:col>
          <xdr:colOff>28575</xdr:colOff>
          <xdr:row>76</xdr:row>
          <xdr:rowOff>152400</xdr:rowOff>
        </xdr:to>
        <xdr:sp macro="" textlink="">
          <xdr:nvSpPr>
            <xdr:cNvPr id="5316" name="Group Box 196" hidden="1">
              <a:extLst>
                <a:ext uri="{63B3BB69-23CF-44E3-9099-C40C66FF867C}">
                  <a14:compatExt spid="_x0000_s5316"/>
                </a:ext>
                <a:ext uri="{FF2B5EF4-FFF2-40B4-BE49-F238E27FC236}">
                  <a16:creationId xmlns:a16="http://schemas.microsoft.com/office/drawing/2014/main" id="{00000000-0008-0000-0300-0000C4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17" name="Option Button 197" hidden="1">
              <a:extLst>
                <a:ext uri="{63B3BB69-23CF-44E3-9099-C40C66FF867C}">
                  <a14:compatExt spid="_x0000_s5317"/>
                </a:ext>
                <a:ext uri="{FF2B5EF4-FFF2-40B4-BE49-F238E27FC236}">
                  <a16:creationId xmlns:a16="http://schemas.microsoft.com/office/drawing/2014/main" id="{00000000-0008-0000-0300-0000C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628650</xdr:colOff>
          <xdr:row>68</xdr:row>
          <xdr:rowOff>9525</xdr:rowOff>
        </xdr:from>
        <xdr:to>
          <xdr:col>4</xdr:col>
          <xdr:colOff>209550</xdr:colOff>
          <xdr:row>69</xdr:row>
          <xdr:rowOff>38100</xdr:rowOff>
        </xdr:to>
        <xdr:sp macro="" textlink="">
          <xdr:nvSpPr>
            <xdr:cNvPr id="5319" name="Option Button 199" hidden="1">
              <a:extLst>
                <a:ext uri="{63B3BB69-23CF-44E3-9099-C40C66FF867C}">
                  <a14:compatExt spid="_x0000_s5319"/>
                </a:ext>
                <a:ext uri="{FF2B5EF4-FFF2-40B4-BE49-F238E27FC236}">
                  <a16:creationId xmlns:a16="http://schemas.microsoft.com/office/drawing/2014/main" id="{00000000-0008-0000-0300-0000C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20" name="Option Button 200" hidden="1">
              <a:extLst>
                <a:ext uri="{63B3BB69-23CF-44E3-9099-C40C66FF867C}">
                  <a14:compatExt spid="_x0000_s5320"/>
                </a:ext>
                <a:ext uri="{FF2B5EF4-FFF2-40B4-BE49-F238E27FC236}">
                  <a16:creationId xmlns:a16="http://schemas.microsoft.com/office/drawing/2014/main" id="{00000000-0008-0000-0300-0000C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21" name="Option Button 201" hidden="1">
              <a:extLst>
                <a:ext uri="{63B3BB69-23CF-44E3-9099-C40C66FF867C}">
                  <a14:compatExt spid="_x0000_s5321"/>
                </a:ext>
                <a:ext uri="{FF2B5EF4-FFF2-40B4-BE49-F238E27FC236}">
                  <a16:creationId xmlns:a16="http://schemas.microsoft.com/office/drawing/2014/main" id="{00000000-0008-0000-0300-0000C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68</xdr:row>
          <xdr:rowOff>0</xdr:rowOff>
        </xdr:from>
        <xdr:to>
          <xdr:col>7</xdr:col>
          <xdr:colOff>514350</xdr:colOff>
          <xdr:row>69</xdr:row>
          <xdr:rowOff>47625</xdr:rowOff>
        </xdr:to>
        <xdr:sp macro="" textlink="">
          <xdr:nvSpPr>
            <xdr:cNvPr id="5322" name="Option Button 202" hidden="1">
              <a:extLst>
                <a:ext uri="{63B3BB69-23CF-44E3-9099-C40C66FF867C}">
                  <a14:compatExt spid="_x0000_s5322"/>
                </a:ext>
                <a:ext uri="{FF2B5EF4-FFF2-40B4-BE49-F238E27FC236}">
                  <a16:creationId xmlns:a16="http://schemas.microsoft.com/office/drawing/2014/main" id="{00000000-0008-0000-0300-0000C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628650</xdr:colOff>
          <xdr:row>58</xdr:row>
          <xdr:rowOff>152400</xdr:rowOff>
        </xdr:from>
        <xdr:to>
          <xdr:col>1</xdr:col>
          <xdr:colOff>85725</xdr:colOff>
          <xdr:row>59</xdr:row>
          <xdr:rowOff>180975</xdr:rowOff>
        </xdr:to>
        <xdr:sp macro="" textlink="">
          <xdr:nvSpPr>
            <xdr:cNvPr id="5323" name="Option Button 203" hidden="1">
              <a:extLst>
                <a:ext uri="{63B3BB69-23CF-44E3-9099-C40C66FF867C}">
                  <a14:compatExt spid="_x0000_s5323"/>
                </a:ext>
                <a:ext uri="{FF2B5EF4-FFF2-40B4-BE49-F238E27FC236}">
                  <a16:creationId xmlns:a16="http://schemas.microsoft.com/office/drawing/2014/main" id="{00000000-0008-0000-0300-0000C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647700</xdr:colOff>
          <xdr:row>73</xdr:row>
          <xdr:rowOff>152400</xdr:rowOff>
        </xdr:from>
        <xdr:to>
          <xdr:col>4</xdr:col>
          <xdr:colOff>219075</xdr:colOff>
          <xdr:row>74</xdr:row>
          <xdr:rowOff>190500</xdr:rowOff>
        </xdr:to>
        <xdr:sp macro="" textlink="">
          <xdr:nvSpPr>
            <xdr:cNvPr id="5325" name="Check Box 205" hidden="1">
              <a:extLst>
                <a:ext uri="{63B3BB69-23CF-44E3-9099-C40C66FF867C}">
                  <a14:compatExt spid="_x0000_s5325"/>
                </a:ext>
                <a:ext uri="{FF2B5EF4-FFF2-40B4-BE49-F238E27FC236}">
                  <a16:creationId xmlns:a16="http://schemas.microsoft.com/office/drawing/2014/main" id="{00000000-0008-0000-0300-0000C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78</xdr:row>
          <xdr:rowOff>0</xdr:rowOff>
        </xdr:from>
        <xdr:to>
          <xdr:col>10</xdr:col>
          <xdr:colOff>104775</xdr:colOff>
          <xdr:row>83</xdr:row>
          <xdr:rowOff>161925</xdr:rowOff>
        </xdr:to>
        <xdr:sp macro="" textlink="">
          <xdr:nvSpPr>
            <xdr:cNvPr id="5326" name="Group Box 206" hidden="1">
              <a:extLst>
                <a:ext uri="{63B3BB69-23CF-44E3-9099-C40C66FF867C}">
                  <a14:compatExt spid="_x0000_s5326"/>
                </a:ext>
                <a:ext uri="{FF2B5EF4-FFF2-40B4-BE49-F238E27FC236}">
                  <a16:creationId xmlns:a16="http://schemas.microsoft.com/office/drawing/2014/main" id="{00000000-0008-0000-0300-0000CE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78</xdr:row>
          <xdr:rowOff>0</xdr:rowOff>
        </xdr:from>
        <xdr:to>
          <xdr:col>4</xdr:col>
          <xdr:colOff>219075</xdr:colOff>
          <xdr:row>79</xdr:row>
          <xdr:rowOff>57150</xdr:rowOff>
        </xdr:to>
        <xdr:sp macro="" textlink="">
          <xdr:nvSpPr>
            <xdr:cNvPr id="5327" name="Option Button 207" hidden="1">
              <a:extLst>
                <a:ext uri="{63B3BB69-23CF-44E3-9099-C40C66FF867C}">
                  <a14:compatExt spid="_x0000_s5327"/>
                </a:ext>
                <a:ext uri="{FF2B5EF4-FFF2-40B4-BE49-F238E27FC236}">
                  <a16:creationId xmlns:a16="http://schemas.microsoft.com/office/drawing/2014/main" id="{00000000-0008-0000-0300-0000CF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628650</xdr:colOff>
          <xdr:row>80</xdr:row>
          <xdr:rowOff>171450</xdr:rowOff>
        </xdr:from>
        <xdr:to>
          <xdr:col>1</xdr:col>
          <xdr:colOff>57150</xdr:colOff>
          <xdr:row>82</xdr:row>
          <xdr:rowOff>19050</xdr:rowOff>
        </xdr:to>
        <xdr:sp macro="" textlink="">
          <xdr:nvSpPr>
            <xdr:cNvPr id="5328" name="Option Button 208" hidden="1">
              <a:extLst>
                <a:ext uri="{63B3BB69-23CF-44E3-9099-C40C66FF867C}">
                  <a14:compatExt spid="_x0000_s5328"/>
                </a:ext>
                <a:ext uri="{FF2B5EF4-FFF2-40B4-BE49-F238E27FC236}">
                  <a16:creationId xmlns:a16="http://schemas.microsoft.com/office/drawing/2014/main" id="{00000000-0008-0000-0300-0000D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78</xdr:row>
          <xdr:rowOff>0</xdr:rowOff>
        </xdr:from>
        <xdr:to>
          <xdr:col>7</xdr:col>
          <xdr:colOff>523875</xdr:colOff>
          <xdr:row>79</xdr:row>
          <xdr:rowOff>66675</xdr:rowOff>
        </xdr:to>
        <xdr:sp macro="" textlink="">
          <xdr:nvSpPr>
            <xdr:cNvPr id="5329" name="Option Button 209" hidden="1">
              <a:extLst>
                <a:ext uri="{63B3BB69-23CF-44E3-9099-C40C66FF867C}">
                  <a14:compatExt spid="_x0000_s5329"/>
                </a:ext>
                <a:ext uri="{FF2B5EF4-FFF2-40B4-BE49-F238E27FC236}">
                  <a16:creationId xmlns:a16="http://schemas.microsoft.com/office/drawing/2014/main" id="{00000000-0008-0000-0300-0000D1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628650</xdr:colOff>
          <xdr:row>85</xdr:row>
          <xdr:rowOff>171450</xdr:rowOff>
        </xdr:from>
        <xdr:to>
          <xdr:col>4</xdr:col>
          <xdr:colOff>180975</xdr:colOff>
          <xdr:row>87</xdr:row>
          <xdr:rowOff>9525</xdr:rowOff>
        </xdr:to>
        <xdr:sp macro="" textlink="">
          <xdr:nvSpPr>
            <xdr:cNvPr id="5330" name="Option Button 210" hidden="1">
              <a:extLst>
                <a:ext uri="{63B3BB69-23CF-44E3-9099-C40C66FF867C}">
                  <a14:compatExt spid="_x0000_s5330"/>
                </a:ext>
                <a:ext uri="{FF2B5EF4-FFF2-40B4-BE49-F238E27FC236}">
                  <a16:creationId xmlns:a16="http://schemas.microsoft.com/office/drawing/2014/main" id="{00000000-0008-0000-0300-0000D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85</xdr:row>
          <xdr:rowOff>9525</xdr:rowOff>
        </xdr:from>
        <xdr:to>
          <xdr:col>7</xdr:col>
          <xdr:colOff>542925</xdr:colOff>
          <xdr:row>86</xdr:row>
          <xdr:rowOff>38100</xdr:rowOff>
        </xdr:to>
        <xdr:sp macro="" textlink="">
          <xdr:nvSpPr>
            <xdr:cNvPr id="5331" name="Option Button 211" hidden="1">
              <a:extLst>
                <a:ext uri="{63B3BB69-23CF-44E3-9099-C40C66FF867C}">
                  <a14:compatExt spid="_x0000_s5331"/>
                </a:ext>
                <a:ext uri="{FF2B5EF4-FFF2-40B4-BE49-F238E27FC236}">
                  <a16:creationId xmlns:a16="http://schemas.microsoft.com/office/drawing/2014/main" id="{00000000-0008-0000-0300-0000D3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628650</xdr:colOff>
          <xdr:row>85</xdr:row>
          <xdr:rowOff>0</xdr:rowOff>
        </xdr:from>
        <xdr:to>
          <xdr:col>4</xdr:col>
          <xdr:colOff>180975</xdr:colOff>
          <xdr:row>86</xdr:row>
          <xdr:rowOff>19050</xdr:rowOff>
        </xdr:to>
        <xdr:sp macro="" textlink="">
          <xdr:nvSpPr>
            <xdr:cNvPr id="5332" name="Option Button 212" hidden="1">
              <a:extLst>
                <a:ext uri="{63B3BB69-23CF-44E3-9099-C40C66FF867C}">
                  <a14:compatExt spid="_x0000_s5332"/>
                </a:ext>
                <a:ext uri="{FF2B5EF4-FFF2-40B4-BE49-F238E27FC236}">
                  <a16:creationId xmlns:a16="http://schemas.microsoft.com/office/drawing/2014/main" id="{00000000-0008-0000-0300-0000D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33" name="Option Button 213" hidden="1">
              <a:extLst>
                <a:ext uri="{63B3BB69-23CF-44E3-9099-C40C66FF867C}">
                  <a14:compatExt spid="_x0000_s5333"/>
                </a:ext>
                <a:ext uri="{FF2B5EF4-FFF2-40B4-BE49-F238E27FC236}">
                  <a16:creationId xmlns:a16="http://schemas.microsoft.com/office/drawing/2014/main" id="{00000000-0008-0000-0300-0000D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111</xdr:row>
          <xdr:rowOff>95250</xdr:rowOff>
        </xdr:from>
        <xdr:to>
          <xdr:col>10</xdr:col>
          <xdr:colOff>95250</xdr:colOff>
          <xdr:row>117</xdr:row>
          <xdr:rowOff>104775</xdr:rowOff>
        </xdr:to>
        <xdr:sp macro="" textlink="">
          <xdr:nvSpPr>
            <xdr:cNvPr id="5334" name="Group Box 214" hidden="1">
              <a:extLst>
                <a:ext uri="{63B3BB69-23CF-44E3-9099-C40C66FF867C}">
                  <a14:compatExt spid="_x0000_s5334"/>
                </a:ext>
                <a:ext uri="{FF2B5EF4-FFF2-40B4-BE49-F238E27FC236}">
                  <a16:creationId xmlns:a16="http://schemas.microsoft.com/office/drawing/2014/main" id="{00000000-0008-0000-0300-0000D6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35" name="Option Button 215" hidden="1">
              <a:extLst>
                <a:ext uri="{63B3BB69-23CF-44E3-9099-C40C66FF867C}">
                  <a14:compatExt spid="_x0000_s5335"/>
                </a:ext>
                <a:ext uri="{FF2B5EF4-FFF2-40B4-BE49-F238E27FC236}">
                  <a16:creationId xmlns:a16="http://schemas.microsoft.com/office/drawing/2014/main" id="{00000000-0008-0000-0300-0000D714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111</xdr:row>
          <xdr:rowOff>200025</xdr:rowOff>
        </xdr:from>
        <xdr:to>
          <xdr:col>4</xdr:col>
          <xdr:colOff>600075</xdr:colOff>
          <xdr:row>113</xdr:row>
          <xdr:rowOff>38100</xdr:rowOff>
        </xdr:to>
        <xdr:sp macro="" textlink="">
          <xdr:nvSpPr>
            <xdr:cNvPr id="5336" name="Option Button 216" hidden="1">
              <a:extLst>
                <a:ext uri="{63B3BB69-23CF-44E3-9099-C40C66FF867C}">
                  <a14:compatExt spid="_x0000_s5336"/>
                </a:ext>
                <a:ext uri="{FF2B5EF4-FFF2-40B4-BE49-F238E27FC236}">
                  <a16:creationId xmlns:a16="http://schemas.microsoft.com/office/drawing/2014/main" id="{00000000-0008-0000-0300-0000D8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111</xdr:row>
          <xdr:rowOff>190500</xdr:rowOff>
        </xdr:from>
        <xdr:to>
          <xdr:col>8</xdr:col>
          <xdr:colOff>257175</xdr:colOff>
          <xdr:row>113</xdr:row>
          <xdr:rowOff>28575</xdr:rowOff>
        </xdr:to>
        <xdr:sp macro="" textlink="">
          <xdr:nvSpPr>
            <xdr:cNvPr id="5337" name="Option Button 217" hidden="1">
              <a:extLst>
                <a:ext uri="{63B3BB69-23CF-44E3-9099-C40C66FF867C}">
                  <a14:compatExt spid="_x0000_s5337"/>
                </a:ext>
                <a:ext uri="{FF2B5EF4-FFF2-40B4-BE49-F238E27FC236}">
                  <a16:creationId xmlns:a16="http://schemas.microsoft.com/office/drawing/2014/main" id="{00000000-0008-0000-0300-0000D9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38" name="Option Button 218" hidden="1">
              <a:extLst>
                <a:ext uri="{63B3BB69-23CF-44E3-9099-C40C66FF867C}">
                  <a14:compatExt spid="_x0000_s5338"/>
                </a:ext>
                <a:ext uri="{FF2B5EF4-FFF2-40B4-BE49-F238E27FC236}">
                  <a16:creationId xmlns:a16="http://schemas.microsoft.com/office/drawing/2014/main" id="{00000000-0008-0000-0300-0000D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118</xdr:row>
          <xdr:rowOff>9525</xdr:rowOff>
        </xdr:from>
        <xdr:to>
          <xdr:col>10</xdr:col>
          <xdr:colOff>123825</xdr:colOff>
          <xdr:row>125</xdr:row>
          <xdr:rowOff>133350</xdr:rowOff>
        </xdr:to>
        <xdr:sp macro="" textlink="">
          <xdr:nvSpPr>
            <xdr:cNvPr id="5339" name="Group Box 219" hidden="1">
              <a:extLst>
                <a:ext uri="{63B3BB69-23CF-44E3-9099-C40C66FF867C}">
                  <a14:compatExt spid="_x0000_s5339"/>
                </a:ext>
                <a:ext uri="{FF2B5EF4-FFF2-40B4-BE49-F238E27FC236}">
                  <a16:creationId xmlns:a16="http://schemas.microsoft.com/office/drawing/2014/main" id="{00000000-0008-0000-0300-0000DB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628650</xdr:colOff>
          <xdr:row>118</xdr:row>
          <xdr:rowOff>161925</xdr:rowOff>
        </xdr:from>
        <xdr:to>
          <xdr:col>1</xdr:col>
          <xdr:colOff>38100</xdr:colOff>
          <xdr:row>119</xdr:row>
          <xdr:rowOff>180975</xdr:rowOff>
        </xdr:to>
        <xdr:sp macro="" textlink="">
          <xdr:nvSpPr>
            <xdr:cNvPr id="5340" name="Option Button 220" hidden="1">
              <a:extLst>
                <a:ext uri="{63B3BB69-23CF-44E3-9099-C40C66FF867C}">
                  <a14:compatExt spid="_x0000_s5340"/>
                </a:ext>
                <a:ext uri="{FF2B5EF4-FFF2-40B4-BE49-F238E27FC236}">
                  <a16:creationId xmlns:a16="http://schemas.microsoft.com/office/drawing/2014/main" id="{00000000-0008-0000-0300-0000D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628650</xdr:colOff>
          <xdr:row>120</xdr:row>
          <xdr:rowOff>161925</xdr:rowOff>
        </xdr:from>
        <xdr:to>
          <xdr:col>1</xdr:col>
          <xdr:colOff>38100</xdr:colOff>
          <xdr:row>122</xdr:row>
          <xdr:rowOff>9525</xdr:rowOff>
        </xdr:to>
        <xdr:sp macro="" textlink="">
          <xdr:nvSpPr>
            <xdr:cNvPr id="5341" name="Option Button 221" hidden="1">
              <a:extLst>
                <a:ext uri="{63B3BB69-23CF-44E3-9099-C40C66FF867C}">
                  <a14:compatExt spid="_x0000_s5341"/>
                </a:ext>
                <a:ext uri="{FF2B5EF4-FFF2-40B4-BE49-F238E27FC236}">
                  <a16:creationId xmlns:a16="http://schemas.microsoft.com/office/drawing/2014/main" id="{00000000-0008-0000-0300-0000D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628650</xdr:colOff>
          <xdr:row>124</xdr:row>
          <xdr:rowOff>0</xdr:rowOff>
        </xdr:from>
        <xdr:to>
          <xdr:col>1</xdr:col>
          <xdr:colOff>38100</xdr:colOff>
          <xdr:row>125</xdr:row>
          <xdr:rowOff>28575</xdr:rowOff>
        </xdr:to>
        <xdr:sp macro="" textlink="">
          <xdr:nvSpPr>
            <xdr:cNvPr id="5342" name="Option Button 222" hidden="1">
              <a:extLst>
                <a:ext uri="{63B3BB69-23CF-44E3-9099-C40C66FF867C}">
                  <a14:compatExt spid="_x0000_s5342"/>
                </a:ext>
                <a:ext uri="{FF2B5EF4-FFF2-40B4-BE49-F238E27FC236}">
                  <a16:creationId xmlns:a16="http://schemas.microsoft.com/office/drawing/2014/main" id="{00000000-0008-0000-0300-0000D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119</xdr:row>
          <xdr:rowOff>28575</xdr:rowOff>
        </xdr:from>
        <xdr:to>
          <xdr:col>4</xdr:col>
          <xdr:colOff>590550</xdr:colOff>
          <xdr:row>120</xdr:row>
          <xdr:rowOff>57150</xdr:rowOff>
        </xdr:to>
        <xdr:sp macro="" textlink="">
          <xdr:nvSpPr>
            <xdr:cNvPr id="5343" name="Option Button 223" hidden="1">
              <a:extLst>
                <a:ext uri="{63B3BB69-23CF-44E3-9099-C40C66FF867C}">
                  <a14:compatExt spid="_x0000_s5343"/>
                </a:ext>
                <a:ext uri="{FF2B5EF4-FFF2-40B4-BE49-F238E27FC236}">
                  <a16:creationId xmlns:a16="http://schemas.microsoft.com/office/drawing/2014/main" id="{00000000-0008-0000-0300-0000D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119</xdr:row>
          <xdr:rowOff>9525</xdr:rowOff>
        </xdr:from>
        <xdr:to>
          <xdr:col>8</xdr:col>
          <xdr:colOff>276225</xdr:colOff>
          <xdr:row>120</xdr:row>
          <xdr:rowOff>38100</xdr:rowOff>
        </xdr:to>
        <xdr:sp macro="" textlink="">
          <xdr:nvSpPr>
            <xdr:cNvPr id="5344" name="Option Button 224" hidden="1">
              <a:extLst>
                <a:ext uri="{63B3BB69-23CF-44E3-9099-C40C66FF867C}">
                  <a14:compatExt spid="_x0000_s5344"/>
                </a:ext>
                <a:ext uri="{FF2B5EF4-FFF2-40B4-BE49-F238E27FC236}">
                  <a16:creationId xmlns:a16="http://schemas.microsoft.com/office/drawing/2014/main" id="{00000000-0008-0000-0300-0000E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352425</xdr:colOff>
          <xdr:row>126</xdr:row>
          <xdr:rowOff>152400</xdr:rowOff>
        </xdr:from>
        <xdr:to>
          <xdr:col>3</xdr:col>
          <xdr:colOff>400050</xdr:colOff>
          <xdr:row>134</xdr:row>
          <xdr:rowOff>38100</xdr:rowOff>
        </xdr:to>
        <xdr:sp macro="" textlink="">
          <xdr:nvSpPr>
            <xdr:cNvPr id="5345" name="Group Box 225" hidden="1">
              <a:extLst>
                <a:ext uri="{63B3BB69-23CF-44E3-9099-C40C66FF867C}">
                  <a14:compatExt spid="_x0000_s5345"/>
                </a:ext>
                <a:ext uri="{FF2B5EF4-FFF2-40B4-BE49-F238E27FC236}">
                  <a16:creationId xmlns:a16="http://schemas.microsoft.com/office/drawing/2014/main" id="{00000000-0008-0000-0300-0000E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127</xdr:row>
          <xdr:rowOff>9525</xdr:rowOff>
        </xdr:from>
        <xdr:to>
          <xdr:col>1</xdr:col>
          <xdr:colOff>9525</xdr:colOff>
          <xdr:row>128</xdr:row>
          <xdr:rowOff>28575</xdr:rowOff>
        </xdr:to>
        <xdr:sp macro="" textlink="">
          <xdr:nvSpPr>
            <xdr:cNvPr id="5346" name="Check Box 226" hidden="1">
              <a:extLst>
                <a:ext uri="{63B3BB69-23CF-44E3-9099-C40C66FF867C}">
                  <a14:compatExt spid="_x0000_s5346"/>
                </a:ext>
                <a:ext uri="{FF2B5EF4-FFF2-40B4-BE49-F238E27FC236}">
                  <a16:creationId xmlns:a16="http://schemas.microsoft.com/office/drawing/2014/main" id="{00000000-0008-0000-0300-0000E2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126</xdr:row>
          <xdr:rowOff>133350</xdr:rowOff>
        </xdr:from>
        <xdr:to>
          <xdr:col>5</xdr:col>
          <xdr:colOff>504825</xdr:colOff>
          <xdr:row>133</xdr:row>
          <xdr:rowOff>152400</xdr:rowOff>
        </xdr:to>
        <xdr:sp macro="" textlink="">
          <xdr:nvSpPr>
            <xdr:cNvPr id="5347" name="Group Box 227" hidden="1">
              <a:extLst>
                <a:ext uri="{63B3BB69-23CF-44E3-9099-C40C66FF867C}">
                  <a14:compatExt spid="_x0000_s5347"/>
                </a:ext>
                <a:ext uri="{FF2B5EF4-FFF2-40B4-BE49-F238E27FC236}">
                  <a16:creationId xmlns:a16="http://schemas.microsoft.com/office/drawing/2014/main" id="{00000000-0008-0000-0300-0000E3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127</xdr:row>
          <xdr:rowOff>0</xdr:rowOff>
        </xdr:from>
        <xdr:to>
          <xdr:col>7</xdr:col>
          <xdr:colOff>209550</xdr:colOff>
          <xdr:row>134</xdr:row>
          <xdr:rowOff>9525</xdr:rowOff>
        </xdr:to>
        <xdr:sp macro="" textlink="">
          <xdr:nvSpPr>
            <xdr:cNvPr id="5348" name="Group Box 228" hidden="1">
              <a:extLst>
                <a:ext uri="{63B3BB69-23CF-44E3-9099-C40C66FF867C}">
                  <a14:compatExt spid="_x0000_s5348"/>
                </a:ext>
                <a:ext uri="{FF2B5EF4-FFF2-40B4-BE49-F238E27FC236}">
                  <a16:creationId xmlns:a16="http://schemas.microsoft.com/office/drawing/2014/main" id="{00000000-0008-0000-0300-0000E4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0</xdr:col>
      <xdr:colOff>12700</xdr:colOff>
      <xdr:row>22</xdr:row>
      <xdr:rowOff>162982</xdr:rowOff>
    </xdr:from>
    <xdr:to>
      <xdr:col>3</xdr:col>
      <xdr:colOff>490361</xdr:colOff>
      <xdr:row>27</xdr:row>
      <xdr:rowOff>43038</xdr:rowOff>
    </xdr:to>
    <xdr:sp macro="" textlink="">
      <xdr:nvSpPr>
        <xdr:cNvPr id="5356" name="Rectangle: Rounded Corners 5355">
          <a:extLst>
            <a:ext uri="{FF2B5EF4-FFF2-40B4-BE49-F238E27FC236}">
              <a16:creationId xmlns:a16="http://schemas.microsoft.com/office/drawing/2014/main" id="{00000000-0008-0000-0300-0000EC140000}"/>
            </a:ext>
          </a:extLst>
        </xdr:cNvPr>
        <xdr:cNvSpPr/>
      </xdr:nvSpPr>
      <xdr:spPr>
        <a:xfrm>
          <a:off x="12700" y="4569882"/>
          <a:ext cx="2357261" cy="832556"/>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25400</xdr:colOff>
      <xdr:row>29</xdr:row>
      <xdr:rowOff>105128</xdr:rowOff>
    </xdr:from>
    <xdr:to>
      <xdr:col>9</xdr:col>
      <xdr:colOff>629356</xdr:colOff>
      <xdr:row>33</xdr:row>
      <xdr:rowOff>105833</xdr:rowOff>
    </xdr:to>
    <xdr:sp macro="" textlink="">
      <xdr:nvSpPr>
        <xdr:cNvPr id="5357" name="Rectangle: Rounded Corners 5356">
          <a:extLst>
            <a:ext uri="{FF2B5EF4-FFF2-40B4-BE49-F238E27FC236}">
              <a16:creationId xmlns:a16="http://schemas.microsoft.com/office/drawing/2014/main" id="{00000000-0008-0000-0300-0000ED140000}"/>
            </a:ext>
          </a:extLst>
        </xdr:cNvPr>
        <xdr:cNvSpPr/>
      </xdr:nvSpPr>
      <xdr:spPr>
        <a:xfrm>
          <a:off x="25400" y="5845528"/>
          <a:ext cx="6426906" cy="762705"/>
        </a:xfrm>
        <a:prstGeom prst="roundRect">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31750</xdr:colOff>
      <xdr:row>40</xdr:row>
      <xdr:rowOff>59267</xdr:rowOff>
    </xdr:from>
    <xdr:to>
      <xdr:col>3</xdr:col>
      <xdr:colOff>471311</xdr:colOff>
      <xdr:row>47</xdr:row>
      <xdr:rowOff>63500</xdr:rowOff>
    </xdr:to>
    <xdr:sp macro="" textlink="">
      <xdr:nvSpPr>
        <xdr:cNvPr id="5358" name="Rectangle: Rounded Corners 5357">
          <a:extLst>
            <a:ext uri="{FF2B5EF4-FFF2-40B4-BE49-F238E27FC236}">
              <a16:creationId xmlns:a16="http://schemas.microsoft.com/office/drawing/2014/main" id="{00000000-0008-0000-0300-0000EE140000}"/>
            </a:ext>
          </a:extLst>
        </xdr:cNvPr>
        <xdr:cNvSpPr/>
      </xdr:nvSpPr>
      <xdr:spPr>
        <a:xfrm>
          <a:off x="31750" y="7895167"/>
          <a:ext cx="2319161" cy="1337733"/>
        </a:xfrm>
        <a:prstGeom prst="roundRect">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19050</xdr:colOff>
      <xdr:row>51</xdr:row>
      <xdr:rowOff>25400</xdr:rowOff>
    </xdr:from>
    <xdr:to>
      <xdr:col>9</xdr:col>
      <xdr:colOff>575028</xdr:colOff>
      <xdr:row>54</xdr:row>
      <xdr:rowOff>158750</xdr:rowOff>
    </xdr:to>
    <xdr:sp macro="" textlink="">
      <xdr:nvSpPr>
        <xdr:cNvPr id="5359" name="Rectangle: Rounded Corners 5358">
          <a:extLst>
            <a:ext uri="{FF2B5EF4-FFF2-40B4-BE49-F238E27FC236}">
              <a16:creationId xmlns:a16="http://schemas.microsoft.com/office/drawing/2014/main" id="{00000000-0008-0000-0300-0000EF140000}"/>
            </a:ext>
          </a:extLst>
        </xdr:cNvPr>
        <xdr:cNvSpPr/>
      </xdr:nvSpPr>
      <xdr:spPr>
        <a:xfrm>
          <a:off x="19050" y="9956800"/>
          <a:ext cx="6378928" cy="70485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38100</xdr:colOff>
      <xdr:row>62</xdr:row>
      <xdr:rowOff>31750</xdr:rowOff>
    </xdr:from>
    <xdr:to>
      <xdr:col>3</xdr:col>
      <xdr:colOff>438855</xdr:colOff>
      <xdr:row>66</xdr:row>
      <xdr:rowOff>92429</xdr:rowOff>
    </xdr:to>
    <xdr:sp macro="" textlink="">
      <xdr:nvSpPr>
        <xdr:cNvPr id="5360" name="Rectangle: Rounded Corners 5359">
          <a:extLst>
            <a:ext uri="{FF2B5EF4-FFF2-40B4-BE49-F238E27FC236}">
              <a16:creationId xmlns:a16="http://schemas.microsoft.com/office/drawing/2014/main" id="{00000000-0008-0000-0300-0000F0140000}"/>
            </a:ext>
          </a:extLst>
        </xdr:cNvPr>
        <xdr:cNvSpPr/>
      </xdr:nvSpPr>
      <xdr:spPr>
        <a:xfrm>
          <a:off x="38100" y="12058650"/>
          <a:ext cx="2280355" cy="848079"/>
        </a:xfrm>
        <a:prstGeom prst="roundRect">
          <a:avLst>
            <a:gd name="adj" fmla="val 9928"/>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177800</xdr:colOff>
      <xdr:row>40</xdr:row>
      <xdr:rowOff>99484</xdr:rowOff>
    </xdr:from>
    <xdr:to>
      <xdr:col>9</xdr:col>
      <xdr:colOff>628650</xdr:colOff>
      <xdr:row>47</xdr:row>
      <xdr:rowOff>21166</xdr:rowOff>
    </xdr:to>
    <xdr:sp macro="" textlink="">
      <xdr:nvSpPr>
        <xdr:cNvPr id="5361" name="Rectangle: Rounded Corners 5360">
          <a:extLst>
            <a:ext uri="{FF2B5EF4-FFF2-40B4-BE49-F238E27FC236}">
              <a16:creationId xmlns:a16="http://schemas.microsoft.com/office/drawing/2014/main" id="{00000000-0008-0000-0300-0000F1140000}"/>
            </a:ext>
          </a:extLst>
        </xdr:cNvPr>
        <xdr:cNvSpPr/>
      </xdr:nvSpPr>
      <xdr:spPr>
        <a:xfrm>
          <a:off x="4672189" y="7740651"/>
          <a:ext cx="1749072" cy="1255182"/>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481894</xdr:colOff>
      <xdr:row>62</xdr:row>
      <xdr:rowOff>44450</xdr:rowOff>
    </xdr:from>
    <xdr:to>
      <xdr:col>7</xdr:col>
      <xdr:colOff>126294</xdr:colOff>
      <xdr:row>66</xdr:row>
      <xdr:rowOff>72672</xdr:rowOff>
    </xdr:to>
    <xdr:sp macro="" textlink="">
      <xdr:nvSpPr>
        <xdr:cNvPr id="5363" name="Rectangle: Rounded Corners 5362">
          <a:extLst>
            <a:ext uri="{FF2B5EF4-FFF2-40B4-BE49-F238E27FC236}">
              <a16:creationId xmlns:a16="http://schemas.microsoft.com/office/drawing/2014/main" id="{00000000-0008-0000-0300-0000F3140000}"/>
            </a:ext>
          </a:extLst>
        </xdr:cNvPr>
        <xdr:cNvSpPr/>
      </xdr:nvSpPr>
      <xdr:spPr>
        <a:xfrm>
          <a:off x="2361494" y="12071350"/>
          <a:ext cx="2235200" cy="815622"/>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201788</xdr:colOff>
      <xdr:row>56</xdr:row>
      <xdr:rowOff>31750</xdr:rowOff>
    </xdr:from>
    <xdr:to>
      <xdr:col>10</xdr:col>
      <xdr:colOff>4938</xdr:colOff>
      <xdr:row>60</xdr:row>
      <xdr:rowOff>98072</xdr:rowOff>
    </xdr:to>
    <xdr:sp macro="" textlink="">
      <xdr:nvSpPr>
        <xdr:cNvPr id="5364" name="Rectangle: Rounded Corners 5363">
          <a:extLst>
            <a:ext uri="{FF2B5EF4-FFF2-40B4-BE49-F238E27FC236}">
              <a16:creationId xmlns:a16="http://schemas.microsoft.com/office/drawing/2014/main" id="{00000000-0008-0000-0300-0000F4140000}"/>
            </a:ext>
          </a:extLst>
        </xdr:cNvPr>
        <xdr:cNvSpPr/>
      </xdr:nvSpPr>
      <xdr:spPr>
        <a:xfrm>
          <a:off x="4672188" y="10744200"/>
          <a:ext cx="1746250" cy="828322"/>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7</xdr:col>
          <xdr:colOff>381000</xdr:colOff>
          <xdr:row>126</xdr:row>
          <xdr:rowOff>152400</xdr:rowOff>
        </xdr:from>
        <xdr:to>
          <xdr:col>10</xdr:col>
          <xdr:colOff>85725</xdr:colOff>
          <xdr:row>133</xdr:row>
          <xdr:rowOff>28575</xdr:rowOff>
        </xdr:to>
        <xdr:sp macro="" textlink="">
          <xdr:nvSpPr>
            <xdr:cNvPr id="5349" name="Group Box 229" hidden="1">
              <a:extLst>
                <a:ext uri="{63B3BB69-23CF-44E3-9099-C40C66FF867C}">
                  <a14:compatExt spid="_x0000_s5349"/>
                </a:ext>
                <a:ext uri="{FF2B5EF4-FFF2-40B4-BE49-F238E27FC236}">
                  <a16:creationId xmlns:a16="http://schemas.microsoft.com/office/drawing/2014/main" id="{00000000-0008-0000-0300-0000E5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127</xdr:row>
          <xdr:rowOff>180975</xdr:rowOff>
        </xdr:from>
        <xdr:to>
          <xdr:col>8</xdr:col>
          <xdr:colOff>266700</xdr:colOff>
          <xdr:row>129</xdr:row>
          <xdr:rowOff>19050</xdr:rowOff>
        </xdr:to>
        <xdr:sp macro="" textlink="">
          <xdr:nvSpPr>
            <xdr:cNvPr id="5350" name="Option Button 230" hidden="1">
              <a:extLst>
                <a:ext uri="{63B3BB69-23CF-44E3-9099-C40C66FF867C}">
                  <a14:compatExt spid="_x0000_s5350"/>
                </a:ext>
                <a:ext uri="{FF2B5EF4-FFF2-40B4-BE49-F238E27FC236}">
                  <a16:creationId xmlns:a16="http://schemas.microsoft.com/office/drawing/2014/main" id="{00000000-0008-0000-0300-0000E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128</xdr:row>
          <xdr:rowOff>171450</xdr:rowOff>
        </xdr:from>
        <xdr:to>
          <xdr:col>8</xdr:col>
          <xdr:colOff>276225</xdr:colOff>
          <xdr:row>130</xdr:row>
          <xdr:rowOff>19050</xdr:rowOff>
        </xdr:to>
        <xdr:sp macro="" textlink="">
          <xdr:nvSpPr>
            <xdr:cNvPr id="5351" name="Option Button 231" hidden="1">
              <a:extLst>
                <a:ext uri="{63B3BB69-23CF-44E3-9099-C40C66FF867C}">
                  <a14:compatExt spid="_x0000_s5351"/>
                </a:ext>
                <a:ext uri="{FF2B5EF4-FFF2-40B4-BE49-F238E27FC236}">
                  <a16:creationId xmlns:a16="http://schemas.microsoft.com/office/drawing/2014/main" id="{00000000-0008-0000-0300-0000E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136</xdr:row>
          <xdr:rowOff>161925</xdr:rowOff>
        </xdr:from>
        <xdr:to>
          <xdr:col>1</xdr:col>
          <xdr:colOff>19050</xdr:colOff>
          <xdr:row>138</xdr:row>
          <xdr:rowOff>9525</xdr:rowOff>
        </xdr:to>
        <xdr:sp macro="" textlink="">
          <xdr:nvSpPr>
            <xdr:cNvPr id="5352" name="Check Box 232" hidden="1">
              <a:extLst>
                <a:ext uri="{63B3BB69-23CF-44E3-9099-C40C66FF867C}">
                  <a14:compatExt spid="_x0000_s5352"/>
                </a:ext>
                <a:ext uri="{FF2B5EF4-FFF2-40B4-BE49-F238E27FC236}">
                  <a16:creationId xmlns:a16="http://schemas.microsoft.com/office/drawing/2014/main" id="{00000000-0008-0000-0300-0000E8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138</xdr:row>
          <xdr:rowOff>190500</xdr:rowOff>
        </xdr:from>
        <xdr:to>
          <xdr:col>1</xdr:col>
          <xdr:colOff>28575</xdr:colOff>
          <xdr:row>140</xdr:row>
          <xdr:rowOff>19050</xdr:rowOff>
        </xdr:to>
        <xdr:sp macro="" textlink="">
          <xdr:nvSpPr>
            <xdr:cNvPr id="5353" name="Check Box 233" hidden="1">
              <a:extLst>
                <a:ext uri="{63B3BB69-23CF-44E3-9099-C40C66FF867C}">
                  <a14:compatExt spid="_x0000_s5353"/>
                </a:ext>
                <a:ext uri="{FF2B5EF4-FFF2-40B4-BE49-F238E27FC236}">
                  <a16:creationId xmlns:a16="http://schemas.microsoft.com/office/drawing/2014/main" id="{00000000-0008-0000-0300-0000E9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102</xdr:row>
          <xdr:rowOff>66675</xdr:rowOff>
        </xdr:from>
        <xdr:to>
          <xdr:col>10</xdr:col>
          <xdr:colOff>504825</xdr:colOff>
          <xdr:row>108</xdr:row>
          <xdr:rowOff>114300</xdr:rowOff>
        </xdr:to>
        <xdr:sp macro="" textlink="">
          <xdr:nvSpPr>
            <xdr:cNvPr id="5354" name="Group Box 234" hidden="1">
              <a:extLst>
                <a:ext uri="{63B3BB69-23CF-44E3-9099-C40C66FF867C}">
                  <a14:compatExt spid="_x0000_s5354"/>
                </a:ext>
                <a:ext uri="{FF2B5EF4-FFF2-40B4-BE49-F238E27FC236}">
                  <a16:creationId xmlns:a16="http://schemas.microsoft.com/office/drawing/2014/main" id="{00000000-0008-0000-0300-0000EA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684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628650</xdr:colOff>
          <xdr:row>103</xdr:row>
          <xdr:rowOff>9525</xdr:rowOff>
        </xdr:from>
        <xdr:to>
          <xdr:col>1</xdr:col>
          <xdr:colOff>28575</xdr:colOff>
          <xdr:row>104</xdr:row>
          <xdr:rowOff>38100</xdr:rowOff>
        </xdr:to>
        <xdr:sp macro="" textlink="">
          <xdr:nvSpPr>
            <xdr:cNvPr id="2" name="Option Button 235" hidden="1">
              <a:extLst>
                <a:ext uri="{63B3BB69-23CF-44E3-9099-C40C66FF867C}">
                  <a14:compatExt spid="_x0000_s5355"/>
                </a:ext>
                <a:ext uri="{FF2B5EF4-FFF2-40B4-BE49-F238E27FC236}">
                  <a16:creationId xmlns:a16="http://schemas.microsoft.com/office/drawing/2014/main" id="{00000000-0008-0000-03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628650</xdr:colOff>
          <xdr:row>103</xdr:row>
          <xdr:rowOff>0</xdr:rowOff>
        </xdr:from>
        <xdr:to>
          <xdr:col>4</xdr:col>
          <xdr:colOff>180975</xdr:colOff>
          <xdr:row>104</xdr:row>
          <xdr:rowOff>28575</xdr:rowOff>
        </xdr:to>
        <xdr:sp macro="" textlink="">
          <xdr:nvSpPr>
            <xdr:cNvPr id="3" name="Option Button 236" hidden="1">
              <a:extLst>
                <a:ext uri="{63B3BB69-23CF-44E3-9099-C40C66FF867C}">
                  <a14:compatExt spid="_x0000_s5356"/>
                </a:ext>
                <a:ext uri="{FF2B5EF4-FFF2-40B4-BE49-F238E27FC236}">
                  <a16:creationId xmlns:a16="http://schemas.microsoft.com/office/drawing/2014/main" id="{00000000-0008-0000-0300-0000030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104</xdr:row>
          <xdr:rowOff>171450</xdr:rowOff>
        </xdr:from>
        <xdr:to>
          <xdr:col>4</xdr:col>
          <xdr:colOff>190500</xdr:colOff>
          <xdr:row>106</xdr:row>
          <xdr:rowOff>9525</xdr:rowOff>
        </xdr:to>
        <xdr:sp macro="" textlink="">
          <xdr:nvSpPr>
            <xdr:cNvPr id="4" name="Option Button 237" hidden="1">
              <a:extLst>
                <a:ext uri="{63B3BB69-23CF-44E3-9099-C40C66FF867C}">
                  <a14:compatExt spid="_x0000_s5357"/>
                </a:ext>
                <a:ext uri="{FF2B5EF4-FFF2-40B4-BE49-F238E27FC236}">
                  <a16:creationId xmlns:a16="http://schemas.microsoft.com/office/drawing/2014/main" id="{00000000-0008-0000-0300-0000040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103</xdr:row>
          <xdr:rowOff>0</xdr:rowOff>
        </xdr:from>
        <xdr:to>
          <xdr:col>7</xdr:col>
          <xdr:colOff>581025</xdr:colOff>
          <xdr:row>104</xdr:row>
          <xdr:rowOff>28575</xdr:rowOff>
        </xdr:to>
        <xdr:sp macro="" textlink="">
          <xdr:nvSpPr>
            <xdr:cNvPr id="5" name="Option Button 238" hidden="1">
              <a:extLst>
                <a:ext uri="{63B3BB69-23CF-44E3-9099-C40C66FF867C}">
                  <a14:compatExt spid="_x0000_s5358"/>
                </a:ext>
                <a:ext uri="{FF2B5EF4-FFF2-40B4-BE49-F238E27FC236}">
                  <a16:creationId xmlns:a16="http://schemas.microsoft.com/office/drawing/2014/main" id="{00000000-0008-0000-0300-0000050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104</xdr:row>
          <xdr:rowOff>161925</xdr:rowOff>
        </xdr:from>
        <xdr:to>
          <xdr:col>7</xdr:col>
          <xdr:colOff>590550</xdr:colOff>
          <xdr:row>106</xdr:row>
          <xdr:rowOff>0</xdr:rowOff>
        </xdr:to>
        <xdr:sp macro="" textlink="">
          <xdr:nvSpPr>
            <xdr:cNvPr id="6" name="Option Button 239" hidden="1">
              <a:extLst>
                <a:ext uri="{63B3BB69-23CF-44E3-9099-C40C66FF867C}">
                  <a14:compatExt spid="_x0000_s5359"/>
                </a:ext>
                <a:ext uri="{FF2B5EF4-FFF2-40B4-BE49-F238E27FC236}">
                  <a16:creationId xmlns:a16="http://schemas.microsoft.com/office/drawing/2014/main" id="{00000000-0008-0000-03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628650</xdr:colOff>
          <xdr:row>106</xdr:row>
          <xdr:rowOff>171450</xdr:rowOff>
        </xdr:from>
        <xdr:to>
          <xdr:col>1</xdr:col>
          <xdr:colOff>38100</xdr:colOff>
          <xdr:row>108</xdr:row>
          <xdr:rowOff>9525</xdr:rowOff>
        </xdr:to>
        <xdr:sp macro="" textlink="">
          <xdr:nvSpPr>
            <xdr:cNvPr id="7" name="Option Button 240" hidden="1">
              <a:extLst>
                <a:ext uri="{63B3BB69-23CF-44E3-9099-C40C66FF867C}">
                  <a14:compatExt spid="_x0000_s5360"/>
                </a:ext>
                <a:ext uri="{FF2B5EF4-FFF2-40B4-BE49-F238E27FC236}">
                  <a16:creationId xmlns:a16="http://schemas.microsoft.com/office/drawing/2014/main" id="{00000000-0008-0000-03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140</xdr:row>
          <xdr:rowOff>180975</xdr:rowOff>
        </xdr:from>
        <xdr:to>
          <xdr:col>1</xdr:col>
          <xdr:colOff>28575</xdr:colOff>
          <xdr:row>142</xdr:row>
          <xdr:rowOff>28575</xdr:rowOff>
        </xdr:to>
        <xdr:sp macro="" textlink="">
          <xdr:nvSpPr>
            <xdr:cNvPr id="8" name="Check Box 241" hidden="1">
              <a:extLst>
                <a:ext uri="{63B3BB69-23CF-44E3-9099-C40C66FF867C}">
                  <a14:compatExt spid="_x0000_s5361"/>
                </a:ext>
                <a:ext uri="{FF2B5EF4-FFF2-40B4-BE49-F238E27FC236}">
                  <a16:creationId xmlns:a16="http://schemas.microsoft.com/office/drawing/2014/main" id="{00000000-0008-0000-0300-0000080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542925</xdr:colOff>
          <xdr:row>145</xdr:row>
          <xdr:rowOff>0</xdr:rowOff>
        </xdr:from>
        <xdr:to>
          <xdr:col>0</xdr:col>
          <xdr:colOff>742950</xdr:colOff>
          <xdr:row>146</xdr:row>
          <xdr:rowOff>28575</xdr:rowOff>
        </xdr:to>
        <xdr:sp macro="" textlink="">
          <xdr:nvSpPr>
            <xdr:cNvPr id="5362" name="Check Box 242" hidden="1">
              <a:extLst>
                <a:ext uri="{63B3BB69-23CF-44E3-9099-C40C66FF867C}">
                  <a14:compatExt spid="_x0000_s5362"/>
                </a:ext>
                <a:ext uri="{FF2B5EF4-FFF2-40B4-BE49-F238E27FC236}">
                  <a16:creationId xmlns:a16="http://schemas.microsoft.com/office/drawing/2014/main" id="{00000000-0008-0000-0300-0000F2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19050</xdr:colOff>
      <xdr:row>56</xdr:row>
      <xdr:rowOff>50800</xdr:rowOff>
    </xdr:from>
    <xdr:to>
      <xdr:col>3</xdr:col>
      <xdr:colOff>435328</xdr:colOff>
      <xdr:row>60</xdr:row>
      <xdr:rowOff>95250</xdr:rowOff>
    </xdr:to>
    <xdr:sp macro="" textlink="">
      <xdr:nvSpPr>
        <xdr:cNvPr id="5379" name="Rectangle: Rounded Corners 5378">
          <a:extLst>
            <a:ext uri="{FF2B5EF4-FFF2-40B4-BE49-F238E27FC236}">
              <a16:creationId xmlns:a16="http://schemas.microsoft.com/office/drawing/2014/main" id="{00000000-0008-0000-0300-000003150000}"/>
            </a:ext>
          </a:extLst>
        </xdr:cNvPr>
        <xdr:cNvSpPr/>
      </xdr:nvSpPr>
      <xdr:spPr>
        <a:xfrm>
          <a:off x="19050" y="10934700"/>
          <a:ext cx="2295878" cy="80645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495300</xdr:colOff>
      <xdr:row>56</xdr:row>
      <xdr:rowOff>50800</xdr:rowOff>
    </xdr:from>
    <xdr:to>
      <xdr:col>7</xdr:col>
      <xdr:colOff>139700</xdr:colOff>
      <xdr:row>60</xdr:row>
      <xdr:rowOff>107949</xdr:rowOff>
    </xdr:to>
    <xdr:sp macro="" textlink="">
      <xdr:nvSpPr>
        <xdr:cNvPr id="5380" name="Rectangle: Rounded Corners 5379">
          <a:extLst>
            <a:ext uri="{FF2B5EF4-FFF2-40B4-BE49-F238E27FC236}">
              <a16:creationId xmlns:a16="http://schemas.microsoft.com/office/drawing/2014/main" id="{00000000-0008-0000-0300-000004150000}"/>
            </a:ext>
          </a:extLst>
        </xdr:cNvPr>
        <xdr:cNvSpPr/>
      </xdr:nvSpPr>
      <xdr:spPr>
        <a:xfrm>
          <a:off x="2374900" y="10934700"/>
          <a:ext cx="2235200" cy="819149"/>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50800</xdr:colOff>
      <xdr:row>68</xdr:row>
      <xdr:rowOff>23284</xdr:rowOff>
    </xdr:from>
    <xdr:to>
      <xdr:col>3</xdr:col>
      <xdr:colOff>517171</xdr:colOff>
      <xdr:row>76</xdr:row>
      <xdr:rowOff>82550</xdr:rowOff>
    </xdr:to>
    <xdr:sp macro="" textlink="">
      <xdr:nvSpPr>
        <xdr:cNvPr id="5381" name="Rectangle: Rounded Corners 5380">
          <a:extLst>
            <a:ext uri="{FF2B5EF4-FFF2-40B4-BE49-F238E27FC236}">
              <a16:creationId xmlns:a16="http://schemas.microsoft.com/office/drawing/2014/main" id="{00000000-0008-0000-0300-000005150000}"/>
            </a:ext>
          </a:extLst>
        </xdr:cNvPr>
        <xdr:cNvSpPr/>
      </xdr:nvSpPr>
      <xdr:spPr>
        <a:xfrm>
          <a:off x="50800" y="13231284"/>
          <a:ext cx="2345971" cy="1627716"/>
        </a:xfrm>
        <a:prstGeom prst="roundRect">
          <a:avLst>
            <a:gd name="adj" fmla="val 8475"/>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546100</xdr:colOff>
      <xdr:row>68</xdr:row>
      <xdr:rowOff>14817</xdr:rowOff>
    </xdr:from>
    <xdr:to>
      <xdr:col>7</xdr:col>
      <xdr:colOff>139700</xdr:colOff>
      <xdr:row>76</xdr:row>
      <xdr:rowOff>50092</xdr:rowOff>
    </xdr:to>
    <xdr:sp macro="" textlink="">
      <xdr:nvSpPr>
        <xdr:cNvPr id="5382" name="Rectangle: Rounded Corners 5381">
          <a:extLst>
            <a:ext uri="{FF2B5EF4-FFF2-40B4-BE49-F238E27FC236}">
              <a16:creationId xmlns:a16="http://schemas.microsoft.com/office/drawing/2014/main" id="{00000000-0008-0000-0300-000006150000}"/>
            </a:ext>
          </a:extLst>
        </xdr:cNvPr>
        <xdr:cNvSpPr/>
      </xdr:nvSpPr>
      <xdr:spPr>
        <a:xfrm>
          <a:off x="2425700" y="13222817"/>
          <a:ext cx="2184400" cy="1603725"/>
        </a:xfrm>
        <a:prstGeom prst="roundRect">
          <a:avLst>
            <a:gd name="adj" fmla="val 11520"/>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7</xdr:col>
          <xdr:colOff>190500</xdr:colOff>
          <xdr:row>41</xdr:row>
          <xdr:rowOff>9525</xdr:rowOff>
        </xdr:from>
        <xdr:to>
          <xdr:col>7</xdr:col>
          <xdr:colOff>438150</xdr:colOff>
          <xdr:row>42</xdr:row>
          <xdr:rowOff>38100</xdr:rowOff>
        </xdr:to>
        <xdr:sp macro="" textlink="">
          <xdr:nvSpPr>
            <xdr:cNvPr id="9" name="Option Button 243" hidden="1">
              <a:extLst>
                <a:ext uri="{63B3BB69-23CF-44E3-9099-C40C66FF867C}">
                  <a14:compatExt spid="_x0000_s5363"/>
                </a:ext>
                <a:ext uri="{FF2B5EF4-FFF2-40B4-BE49-F238E27FC236}">
                  <a16:creationId xmlns:a16="http://schemas.microsoft.com/office/drawing/2014/main" id="{00000000-0008-0000-0300-00000900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203906</xdr:colOff>
      <xdr:row>68</xdr:row>
      <xdr:rowOff>40216</xdr:rowOff>
    </xdr:from>
    <xdr:to>
      <xdr:col>9</xdr:col>
      <xdr:colOff>610306</xdr:colOff>
      <xdr:row>76</xdr:row>
      <xdr:rowOff>11994</xdr:rowOff>
    </xdr:to>
    <xdr:sp macro="" textlink="">
      <xdr:nvSpPr>
        <xdr:cNvPr id="5384" name="Rectangle: Rounded Corners 5383">
          <a:extLst>
            <a:ext uri="{FF2B5EF4-FFF2-40B4-BE49-F238E27FC236}">
              <a16:creationId xmlns:a16="http://schemas.microsoft.com/office/drawing/2014/main" id="{00000000-0008-0000-0300-000008150000}"/>
            </a:ext>
          </a:extLst>
        </xdr:cNvPr>
        <xdr:cNvSpPr/>
      </xdr:nvSpPr>
      <xdr:spPr>
        <a:xfrm>
          <a:off x="4674306" y="13248216"/>
          <a:ext cx="1758950" cy="1540228"/>
        </a:xfrm>
        <a:prstGeom prst="roundRect">
          <a:avLst>
            <a:gd name="adj" fmla="val 7597"/>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25400</xdr:colOff>
      <xdr:row>78</xdr:row>
      <xdr:rowOff>31750</xdr:rowOff>
    </xdr:from>
    <xdr:to>
      <xdr:col>3</xdr:col>
      <xdr:colOff>505883</xdr:colOff>
      <xdr:row>82</xdr:row>
      <xdr:rowOff>177800</xdr:rowOff>
    </xdr:to>
    <xdr:sp macro="" textlink="">
      <xdr:nvSpPr>
        <xdr:cNvPr id="5385" name="Rectangle: Rounded Corners 5384">
          <a:extLst>
            <a:ext uri="{FF2B5EF4-FFF2-40B4-BE49-F238E27FC236}">
              <a16:creationId xmlns:a16="http://schemas.microsoft.com/office/drawing/2014/main" id="{00000000-0008-0000-0300-000009150000}"/>
            </a:ext>
          </a:extLst>
        </xdr:cNvPr>
        <xdr:cNvSpPr/>
      </xdr:nvSpPr>
      <xdr:spPr>
        <a:xfrm>
          <a:off x="25400" y="15201900"/>
          <a:ext cx="2360083" cy="93345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553863</xdr:colOff>
      <xdr:row>78</xdr:row>
      <xdr:rowOff>26810</xdr:rowOff>
    </xdr:from>
    <xdr:to>
      <xdr:col>7</xdr:col>
      <xdr:colOff>147463</xdr:colOff>
      <xdr:row>82</xdr:row>
      <xdr:rowOff>171449</xdr:rowOff>
    </xdr:to>
    <xdr:sp macro="" textlink="">
      <xdr:nvSpPr>
        <xdr:cNvPr id="5386" name="Rectangle: Rounded Corners 5385">
          <a:extLst>
            <a:ext uri="{FF2B5EF4-FFF2-40B4-BE49-F238E27FC236}">
              <a16:creationId xmlns:a16="http://schemas.microsoft.com/office/drawing/2014/main" id="{00000000-0008-0000-0300-00000A150000}"/>
            </a:ext>
          </a:extLst>
        </xdr:cNvPr>
        <xdr:cNvSpPr/>
      </xdr:nvSpPr>
      <xdr:spPr>
        <a:xfrm>
          <a:off x="2433463" y="15196960"/>
          <a:ext cx="2184400" cy="932039"/>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203200</xdr:colOff>
      <xdr:row>78</xdr:row>
      <xdr:rowOff>38804</xdr:rowOff>
    </xdr:from>
    <xdr:to>
      <xdr:col>9</xdr:col>
      <xdr:colOff>635000</xdr:colOff>
      <xdr:row>82</xdr:row>
      <xdr:rowOff>158749</xdr:rowOff>
    </xdr:to>
    <xdr:sp macro="" textlink="">
      <xdr:nvSpPr>
        <xdr:cNvPr id="5387" name="Rectangle: Rounded Corners 5386">
          <a:extLst>
            <a:ext uri="{FF2B5EF4-FFF2-40B4-BE49-F238E27FC236}">
              <a16:creationId xmlns:a16="http://schemas.microsoft.com/office/drawing/2014/main" id="{00000000-0008-0000-0300-00000B150000}"/>
            </a:ext>
          </a:extLst>
        </xdr:cNvPr>
        <xdr:cNvSpPr/>
      </xdr:nvSpPr>
      <xdr:spPr>
        <a:xfrm>
          <a:off x="4673600" y="15208954"/>
          <a:ext cx="1784350" cy="907345"/>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65" name="Option Button 245" hidden="1">
              <a:extLst>
                <a:ext uri="{63B3BB69-23CF-44E3-9099-C40C66FF867C}">
                  <a14:compatExt spid="_x0000_s5365"/>
                </a:ext>
                <a:ext uri="{FF2B5EF4-FFF2-40B4-BE49-F238E27FC236}">
                  <a16:creationId xmlns:a16="http://schemas.microsoft.com/office/drawing/2014/main" id="{00000000-0008-0000-0300-0000F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31750</xdr:colOff>
      <xdr:row>85</xdr:row>
      <xdr:rowOff>13405</xdr:rowOff>
    </xdr:from>
    <xdr:to>
      <xdr:col>3</xdr:col>
      <xdr:colOff>466372</xdr:colOff>
      <xdr:row>97</xdr:row>
      <xdr:rowOff>64205</xdr:rowOff>
    </xdr:to>
    <xdr:sp macro="" textlink="">
      <xdr:nvSpPr>
        <xdr:cNvPr id="5390" name="Rectangle: Rounded Corners 5389">
          <a:extLst>
            <a:ext uri="{FF2B5EF4-FFF2-40B4-BE49-F238E27FC236}">
              <a16:creationId xmlns:a16="http://schemas.microsoft.com/office/drawing/2014/main" id="{00000000-0008-0000-0300-00000E150000}"/>
            </a:ext>
          </a:extLst>
        </xdr:cNvPr>
        <xdr:cNvSpPr/>
      </xdr:nvSpPr>
      <xdr:spPr>
        <a:xfrm>
          <a:off x="31750" y="16555155"/>
          <a:ext cx="2314222" cy="2362200"/>
        </a:xfrm>
        <a:prstGeom prst="roundRect">
          <a:avLst>
            <a:gd name="adj" fmla="val 8435"/>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513644</xdr:colOff>
      <xdr:row>84</xdr:row>
      <xdr:rowOff>140407</xdr:rowOff>
    </xdr:from>
    <xdr:to>
      <xdr:col>7</xdr:col>
      <xdr:colOff>222249</xdr:colOff>
      <xdr:row>97</xdr:row>
      <xdr:rowOff>95250</xdr:rowOff>
    </xdr:to>
    <xdr:sp macro="" textlink="">
      <xdr:nvSpPr>
        <xdr:cNvPr id="5391" name="Rectangle: Rounded Corners 5390">
          <a:extLst>
            <a:ext uri="{FF2B5EF4-FFF2-40B4-BE49-F238E27FC236}">
              <a16:creationId xmlns:a16="http://schemas.microsoft.com/office/drawing/2014/main" id="{00000000-0008-0000-0300-00000F150000}"/>
            </a:ext>
          </a:extLst>
        </xdr:cNvPr>
        <xdr:cNvSpPr/>
      </xdr:nvSpPr>
      <xdr:spPr>
        <a:xfrm>
          <a:off x="2393244" y="16491657"/>
          <a:ext cx="2299405" cy="2456743"/>
        </a:xfrm>
        <a:prstGeom prst="roundRect">
          <a:avLst>
            <a:gd name="adj" fmla="val 8382"/>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304799</xdr:colOff>
      <xdr:row>84</xdr:row>
      <xdr:rowOff>99484</xdr:rowOff>
    </xdr:from>
    <xdr:to>
      <xdr:col>9</xdr:col>
      <xdr:colOff>640644</xdr:colOff>
      <xdr:row>97</xdr:row>
      <xdr:rowOff>50800</xdr:rowOff>
    </xdr:to>
    <xdr:sp macro="" textlink="">
      <xdr:nvSpPr>
        <xdr:cNvPr id="5392" name="Rectangle: Rounded Corners 5391">
          <a:extLst>
            <a:ext uri="{FF2B5EF4-FFF2-40B4-BE49-F238E27FC236}">
              <a16:creationId xmlns:a16="http://schemas.microsoft.com/office/drawing/2014/main" id="{00000000-0008-0000-0300-000010150000}"/>
            </a:ext>
          </a:extLst>
        </xdr:cNvPr>
        <xdr:cNvSpPr/>
      </xdr:nvSpPr>
      <xdr:spPr>
        <a:xfrm>
          <a:off x="4775199" y="16450734"/>
          <a:ext cx="1688395" cy="2453216"/>
        </a:xfrm>
        <a:prstGeom prst="roundRect">
          <a:avLst>
            <a:gd name="adj" fmla="val 8769"/>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7</xdr:col>
          <xdr:colOff>342900</xdr:colOff>
          <xdr:row>87</xdr:row>
          <xdr:rowOff>0</xdr:rowOff>
        </xdr:from>
        <xdr:to>
          <xdr:col>7</xdr:col>
          <xdr:colOff>542925</xdr:colOff>
          <xdr:row>88</xdr:row>
          <xdr:rowOff>38100</xdr:rowOff>
        </xdr:to>
        <xdr:sp macro="" textlink="">
          <xdr:nvSpPr>
            <xdr:cNvPr id="5366" name="Option Button 246" hidden="1">
              <a:extLst>
                <a:ext uri="{63B3BB69-23CF-44E3-9099-C40C66FF867C}">
                  <a14:compatExt spid="_x0000_s5366"/>
                </a:ext>
                <a:ext uri="{FF2B5EF4-FFF2-40B4-BE49-F238E27FC236}">
                  <a16:creationId xmlns:a16="http://schemas.microsoft.com/office/drawing/2014/main" id="{00000000-0008-0000-0300-0000F6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628650</xdr:colOff>
          <xdr:row>86</xdr:row>
          <xdr:rowOff>190500</xdr:rowOff>
        </xdr:from>
        <xdr:to>
          <xdr:col>4</xdr:col>
          <xdr:colOff>180975</xdr:colOff>
          <xdr:row>88</xdr:row>
          <xdr:rowOff>28575</xdr:rowOff>
        </xdr:to>
        <xdr:sp macro="" textlink="">
          <xdr:nvSpPr>
            <xdr:cNvPr id="5367" name="Option Button 247" hidden="1">
              <a:extLst>
                <a:ext uri="{63B3BB69-23CF-44E3-9099-C40C66FF867C}">
                  <a14:compatExt spid="_x0000_s5367"/>
                </a:ext>
                <a:ext uri="{FF2B5EF4-FFF2-40B4-BE49-F238E27FC236}">
                  <a16:creationId xmlns:a16="http://schemas.microsoft.com/office/drawing/2014/main" id="{00000000-0008-0000-0300-0000F7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31750</xdr:colOff>
      <xdr:row>102</xdr:row>
      <xdr:rowOff>172155</xdr:rowOff>
    </xdr:from>
    <xdr:to>
      <xdr:col>3</xdr:col>
      <xdr:colOff>404283</xdr:colOff>
      <xdr:row>109</xdr:row>
      <xdr:rowOff>50800</xdr:rowOff>
    </xdr:to>
    <xdr:sp macro="" textlink="">
      <xdr:nvSpPr>
        <xdr:cNvPr id="5395" name="Rectangle: Rounded Corners 5394">
          <a:extLst>
            <a:ext uri="{FF2B5EF4-FFF2-40B4-BE49-F238E27FC236}">
              <a16:creationId xmlns:a16="http://schemas.microsoft.com/office/drawing/2014/main" id="{00000000-0008-0000-0300-000013150000}"/>
            </a:ext>
          </a:extLst>
        </xdr:cNvPr>
        <xdr:cNvSpPr/>
      </xdr:nvSpPr>
      <xdr:spPr>
        <a:xfrm>
          <a:off x="31750" y="19990505"/>
          <a:ext cx="2252133" cy="1186745"/>
        </a:xfrm>
        <a:prstGeom prst="roundRect">
          <a:avLst>
            <a:gd name="adj" fmla="val 9711"/>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521406</xdr:colOff>
      <xdr:row>102</xdr:row>
      <xdr:rowOff>143934</xdr:rowOff>
    </xdr:from>
    <xdr:to>
      <xdr:col>7</xdr:col>
      <xdr:colOff>146756</xdr:colOff>
      <xdr:row>109</xdr:row>
      <xdr:rowOff>6350</xdr:rowOff>
    </xdr:to>
    <xdr:sp macro="" textlink="">
      <xdr:nvSpPr>
        <xdr:cNvPr id="5396" name="Rectangle: Rounded Corners 5395">
          <a:extLst>
            <a:ext uri="{FF2B5EF4-FFF2-40B4-BE49-F238E27FC236}">
              <a16:creationId xmlns:a16="http://schemas.microsoft.com/office/drawing/2014/main" id="{00000000-0008-0000-0300-000014150000}"/>
            </a:ext>
          </a:extLst>
        </xdr:cNvPr>
        <xdr:cNvSpPr/>
      </xdr:nvSpPr>
      <xdr:spPr>
        <a:xfrm>
          <a:off x="2401006" y="19962284"/>
          <a:ext cx="2216150" cy="1170516"/>
        </a:xfrm>
        <a:prstGeom prst="roundRect">
          <a:avLst>
            <a:gd name="adj" fmla="val 7987"/>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267406</xdr:colOff>
      <xdr:row>102</xdr:row>
      <xdr:rowOff>129117</xdr:rowOff>
    </xdr:from>
    <xdr:to>
      <xdr:col>9</xdr:col>
      <xdr:colOff>621595</xdr:colOff>
      <xdr:row>108</xdr:row>
      <xdr:rowOff>146050</xdr:rowOff>
    </xdr:to>
    <xdr:sp macro="" textlink="">
      <xdr:nvSpPr>
        <xdr:cNvPr id="5397" name="Rectangle: Rounded Corners 5396">
          <a:extLst>
            <a:ext uri="{FF2B5EF4-FFF2-40B4-BE49-F238E27FC236}">
              <a16:creationId xmlns:a16="http://schemas.microsoft.com/office/drawing/2014/main" id="{00000000-0008-0000-0300-000015150000}"/>
            </a:ext>
          </a:extLst>
        </xdr:cNvPr>
        <xdr:cNvSpPr/>
      </xdr:nvSpPr>
      <xdr:spPr>
        <a:xfrm>
          <a:off x="4737806" y="19947467"/>
          <a:ext cx="1706739" cy="1159933"/>
        </a:xfrm>
        <a:prstGeom prst="roundRect">
          <a:avLst>
            <a:gd name="adj" fmla="val 8455"/>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57150</xdr:colOff>
      <xdr:row>111</xdr:row>
      <xdr:rowOff>23989</xdr:rowOff>
    </xdr:from>
    <xdr:to>
      <xdr:col>9</xdr:col>
      <xdr:colOff>644172</xdr:colOff>
      <xdr:row>117</xdr:row>
      <xdr:rowOff>50800</xdr:rowOff>
    </xdr:to>
    <xdr:sp macro="" textlink="">
      <xdr:nvSpPr>
        <xdr:cNvPr id="5398" name="Rectangle: Rounded Corners 5397">
          <a:extLst>
            <a:ext uri="{FF2B5EF4-FFF2-40B4-BE49-F238E27FC236}">
              <a16:creationId xmlns:a16="http://schemas.microsoft.com/office/drawing/2014/main" id="{00000000-0008-0000-0300-000016150000}"/>
            </a:ext>
          </a:extLst>
        </xdr:cNvPr>
        <xdr:cNvSpPr/>
      </xdr:nvSpPr>
      <xdr:spPr>
        <a:xfrm>
          <a:off x="57150" y="21544139"/>
          <a:ext cx="6409972" cy="1182511"/>
        </a:xfrm>
        <a:prstGeom prst="roundRect">
          <a:avLst>
            <a:gd name="adj" fmla="val 1237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44450</xdr:colOff>
      <xdr:row>117</xdr:row>
      <xdr:rowOff>128411</xdr:rowOff>
    </xdr:from>
    <xdr:to>
      <xdr:col>9</xdr:col>
      <xdr:colOff>639939</xdr:colOff>
      <xdr:row>125</xdr:row>
      <xdr:rowOff>39511</xdr:rowOff>
    </xdr:to>
    <xdr:sp macro="" textlink="">
      <xdr:nvSpPr>
        <xdr:cNvPr id="5399" name="Rectangle: Rounded Corners 5398">
          <a:extLst>
            <a:ext uri="{FF2B5EF4-FFF2-40B4-BE49-F238E27FC236}">
              <a16:creationId xmlns:a16="http://schemas.microsoft.com/office/drawing/2014/main" id="{00000000-0008-0000-0300-000017150000}"/>
            </a:ext>
          </a:extLst>
        </xdr:cNvPr>
        <xdr:cNvSpPr/>
      </xdr:nvSpPr>
      <xdr:spPr>
        <a:xfrm>
          <a:off x="44450" y="22804261"/>
          <a:ext cx="6418439" cy="1447800"/>
        </a:xfrm>
        <a:prstGeom prst="roundRect">
          <a:avLst>
            <a:gd name="adj" fmla="val 1052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25400</xdr:colOff>
      <xdr:row>125</xdr:row>
      <xdr:rowOff>146050</xdr:rowOff>
    </xdr:from>
    <xdr:to>
      <xdr:col>10</xdr:col>
      <xdr:colOff>26105</xdr:colOff>
      <xdr:row>133</xdr:row>
      <xdr:rowOff>57149</xdr:rowOff>
    </xdr:to>
    <xdr:sp macro="" textlink="">
      <xdr:nvSpPr>
        <xdr:cNvPr id="5400" name="Rectangle: Rounded Corners 5399">
          <a:extLst>
            <a:ext uri="{FF2B5EF4-FFF2-40B4-BE49-F238E27FC236}">
              <a16:creationId xmlns:a16="http://schemas.microsoft.com/office/drawing/2014/main" id="{00000000-0008-0000-0300-000018150000}"/>
            </a:ext>
          </a:extLst>
        </xdr:cNvPr>
        <xdr:cNvSpPr/>
      </xdr:nvSpPr>
      <xdr:spPr>
        <a:xfrm>
          <a:off x="25400" y="24358600"/>
          <a:ext cx="6471355" cy="1460499"/>
        </a:xfrm>
        <a:prstGeom prst="roundRect">
          <a:avLst>
            <a:gd name="adj" fmla="val 1014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0</xdr:col>
          <xdr:colOff>628650</xdr:colOff>
          <xdr:row>78</xdr:row>
          <xdr:rowOff>0</xdr:rowOff>
        </xdr:from>
        <xdr:to>
          <xdr:col>1</xdr:col>
          <xdr:colOff>57150</xdr:colOff>
          <xdr:row>79</xdr:row>
          <xdr:rowOff>57150</xdr:rowOff>
        </xdr:to>
        <xdr:sp macro="" textlink="">
          <xdr:nvSpPr>
            <xdr:cNvPr id="5368" name="Option Button 248" hidden="1">
              <a:extLst>
                <a:ext uri="{63B3BB69-23CF-44E3-9099-C40C66FF867C}">
                  <a14:compatExt spid="_x0000_s5368"/>
                </a:ext>
                <a:ext uri="{FF2B5EF4-FFF2-40B4-BE49-F238E27FC236}">
                  <a16:creationId xmlns:a16="http://schemas.microsoft.com/office/drawing/2014/main" id="{00000000-0008-0000-0300-0000F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129</xdr:row>
          <xdr:rowOff>9525</xdr:rowOff>
        </xdr:from>
        <xdr:to>
          <xdr:col>5</xdr:col>
          <xdr:colOff>57150</xdr:colOff>
          <xdr:row>130</xdr:row>
          <xdr:rowOff>38100</xdr:rowOff>
        </xdr:to>
        <xdr:sp macro="" textlink="">
          <xdr:nvSpPr>
            <xdr:cNvPr id="5369" name="Option Button 249" hidden="1">
              <a:extLst>
                <a:ext uri="{63B3BB69-23CF-44E3-9099-C40C66FF867C}">
                  <a14:compatExt spid="_x0000_s5369"/>
                </a:ext>
                <a:ext uri="{FF2B5EF4-FFF2-40B4-BE49-F238E27FC236}">
                  <a16:creationId xmlns:a16="http://schemas.microsoft.com/office/drawing/2014/main" id="{00000000-0008-0000-0300-0000F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127</xdr:row>
          <xdr:rowOff>9525</xdr:rowOff>
        </xdr:from>
        <xdr:to>
          <xdr:col>5</xdr:col>
          <xdr:colOff>38100</xdr:colOff>
          <xdr:row>128</xdr:row>
          <xdr:rowOff>28575</xdr:rowOff>
        </xdr:to>
        <xdr:sp macro="" textlink="">
          <xdr:nvSpPr>
            <xdr:cNvPr id="5370" name="Option Button 250" hidden="1">
              <a:extLst>
                <a:ext uri="{63B3BB69-23CF-44E3-9099-C40C66FF867C}">
                  <a14:compatExt spid="_x0000_s5370"/>
                </a:ext>
                <a:ext uri="{FF2B5EF4-FFF2-40B4-BE49-F238E27FC236}">
                  <a16:creationId xmlns:a16="http://schemas.microsoft.com/office/drawing/2014/main" id="{00000000-0008-0000-0300-0000F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128</xdr:row>
          <xdr:rowOff>19050</xdr:rowOff>
        </xdr:from>
        <xdr:to>
          <xdr:col>5</xdr:col>
          <xdr:colOff>47625</xdr:colOff>
          <xdr:row>129</xdr:row>
          <xdr:rowOff>57150</xdr:rowOff>
        </xdr:to>
        <xdr:sp macro="" textlink="">
          <xdr:nvSpPr>
            <xdr:cNvPr id="5371" name="Option Button 251" hidden="1">
              <a:extLst>
                <a:ext uri="{63B3BB69-23CF-44E3-9099-C40C66FF867C}">
                  <a14:compatExt spid="_x0000_s5371"/>
                </a:ext>
                <a:ext uri="{FF2B5EF4-FFF2-40B4-BE49-F238E27FC236}">
                  <a16:creationId xmlns:a16="http://schemas.microsoft.com/office/drawing/2014/main" id="{00000000-0008-0000-0300-0000F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126</xdr:row>
          <xdr:rowOff>180975</xdr:rowOff>
        </xdr:from>
        <xdr:to>
          <xdr:col>8</xdr:col>
          <xdr:colOff>266700</xdr:colOff>
          <xdr:row>128</xdr:row>
          <xdr:rowOff>9525</xdr:rowOff>
        </xdr:to>
        <xdr:sp macro="" textlink="">
          <xdr:nvSpPr>
            <xdr:cNvPr id="5372" name="Option Button 252" hidden="1">
              <a:extLst>
                <a:ext uri="{63B3BB69-23CF-44E3-9099-C40C66FF867C}">
                  <a14:compatExt spid="_x0000_s5372"/>
                </a:ext>
                <a:ext uri="{FF2B5EF4-FFF2-40B4-BE49-F238E27FC236}">
                  <a16:creationId xmlns:a16="http://schemas.microsoft.com/office/drawing/2014/main" id="{00000000-0008-0000-0300-0000F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62</xdr:row>
          <xdr:rowOff>161925</xdr:rowOff>
        </xdr:from>
        <xdr:to>
          <xdr:col>9</xdr:col>
          <xdr:colOff>542925</xdr:colOff>
          <xdr:row>66</xdr:row>
          <xdr:rowOff>180975</xdr:rowOff>
        </xdr:to>
        <xdr:sp macro="" textlink="">
          <xdr:nvSpPr>
            <xdr:cNvPr id="5373" name="Group Box 253" hidden="1">
              <a:extLst>
                <a:ext uri="{63B3BB69-23CF-44E3-9099-C40C66FF867C}">
                  <a14:compatExt spid="_x0000_s5373"/>
                </a:ext>
                <a:ext uri="{FF2B5EF4-FFF2-40B4-BE49-F238E27FC236}">
                  <a16:creationId xmlns:a16="http://schemas.microsoft.com/office/drawing/2014/main" id="{00000000-0008-0000-0300-0000F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753</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74" name="Option Button 254" hidden="1">
              <a:extLst>
                <a:ext uri="{63B3BB69-23CF-44E3-9099-C40C66FF867C}">
                  <a14:compatExt spid="_x0000_s5374"/>
                </a:ext>
                <a:ext uri="{FF2B5EF4-FFF2-40B4-BE49-F238E27FC236}">
                  <a16:creationId xmlns:a16="http://schemas.microsoft.com/office/drawing/2014/main" id="{00000000-0008-0000-0300-0000F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86</xdr:row>
          <xdr:rowOff>0</xdr:rowOff>
        </xdr:from>
        <xdr:to>
          <xdr:col>1</xdr:col>
          <xdr:colOff>19050</xdr:colOff>
          <xdr:row>87</xdr:row>
          <xdr:rowOff>28575</xdr:rowOff>
        </xdr:to>
        <xdr:sp macro="" textlink="">
          <xdr:nvSpPr>
            <xdr:cNvPr id="5375" name="Option Button 255" hidden="1">
              <a:extLst>
                <a:ext uri="{63B3BB69-23CF-44E3-9099-C40C66FF867C}">
                  <a14:compatExt spid="_x0000_s5375"/>
                </a:ext>
                <a:ext uri="{FF2B5EF4-FFF2-40B4-BE49-F238E27FC236}">
                  <a16:creationId xmlns:a16="http://schemas.microsoft.com/office/drawing/2014/main" id="{00000000-0008-0000-0300-0000FF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86</xdr:row>
          <xdr:rowOff>180975</xdr:rowOff>
        </xdr:from>
        <xdr:to>
          <xdr:col>1</xdr:col>
          <xdr:colOff>19050</xdr:colOff>
          <xdr:row>88</xdr:row>
          <xdr:rowOff>28575</xdr:rowOff>
        </xdr:to>
        <xdr:sp macro="" textlink="">
          <xdr:nvSpPr>
            <xdr:cNvPr id="5376" name="Option Button 256" hidden="1">
              <a:extLst>
                <a:ext uri="{63B3BB69-23CF-44E3-9099-C40C66FF867C}">
                  <a14:compatExt spid="_x0000_s5376"/>
                </a:ext>
                <a:ext uri="{FF2B5EF4-FFF2-40B4-BE49-F238E27FC236}">
                  <a16:creationId xmlns:a16="http://schemas.microsoft.com/office/drawing/2014/main" id="{00000000-0008-0000-0300-000000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87</xdr:row>
          <xdr:rowOff>171450</xdr:rowOff>
        </xdr:from>
        <xdr:to>
          <xdr:col>1</xdr:col>
          <xdr:colOff>19050</xdr:colOff>
          <xdr:row>89</xdr:row>
          <xdr:rowOff>9525</xdr:rowOff>
        </xdr:to>
        <xdr:sp macro="" textlink="">
          <xdr:nvSpPr>
            <xdr:cNvPr id="5377" name="Option Button 257" hidden="1">
              <a:extLst>
                <a:ext uri="{63B3BB69-23CF-44E3-9099-C40C66FF867C}">
                  <a14:compatExt spid="_x0000_s5377"/>
                </a:ext>
                <a:ext uri="{FF2B5EF4-FFF2-40B4-BE49-F238E27FC236}">
                  <a16:creationId xmlns:a16="http://schemas.microsoft.com/office/drawing/2014/main" id="{00000000-0008-0000-0300-000001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87</xdr:row>
          <xdr:rowOff>180975</xdr:rowOff>
        </xdr:from>
        <xdr:to>
          <xdr:col>4</xdr:col>
          <xdr:colOff>171450</xdr:colOff>
          <xdr:row>89</xdr:row>
          <xdr:rowOff>9525</xdr:rowOff>
        </xdr:to>
        <xdr:sp macro="" textlink="">
          <xdr:nvSpPr>
            <xdr:cNvPr id="5378" name="Option Button 258" hidden="1">
              <a:extLst>
                <a:ext uri="{63B3BB69-23CF-44E3-9099-C40C66FF867C}">
                  <a14:compatExt spid="_x0000_s5378"/>
                </a:ext>
                <a:ext uri="{FF2B5EF4-FFF2-40B4-BE49-F238E27FC236}">
                  <a16:creationId xmlns:a16="http://schemas.microsoft.com/office/drawing/2014/main" id="{00000000-0008-0000-0300-00000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87</xdr:row>
          <xdr:rowOff>180975</xdr:rowOff>
        </xdr:from>
        <xdr:to>
          <xdr:col>4</xdr:col>
          <xdr:colOff>171450</xdr:colOff>
          <xdr:row>89</xdr:row>
          <xdr:rowOff>9525</xdr:rowOff>
        </xdr:to>
        <xdr:sp macro="" textlink="">
          <xdr:nvSpPr>
            <xdr:cNvPr id="10" name="Option Button 259" hidden="1">
              <a:extLst>
                <a:ext uri="{63B3BB69-23CF-44E3-9099-C40C66FF867C}">
                  <a14:compatExt spid="_x0000_s5379"/>
                </a:ext>
                <a:ext uri="{FF2B5EF4-FFF2-40B4-BE49-F238E27FC236}">
                  <a16:creationId xmlns:a16="http://schemas.microsoft.com/office/drawing/2014/main" id="{00000000-0008-0000-0300-00000A0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88</xdr:row>
          <xdr:rowOff>180975</xdr:rowOff>
        </xdr:from>
        <xdr:to>
          <xdr:col>4</xdr:col>
          <xdr:colOff>171450</xdr:colOff>
          <xdr:row>90</xdr:row>
          <xdr:rowOff>0</xdr:rowOff>
        </xdr:to>
        <xdr:sp macro="" textlink="">
          <xdr:nvSpPr>
            <xdr:cNvPr id="11" name="Option Button 260" hidden="1">
              <a:extLst>
                <a:ext uri="{63B3BB69-23CF-44E3-9099-C40C66FF867C}">
                  <a14:compatExt spid="_x0000_s5380"/>
                </a:ext>
                <a:ext uri="{FF2B5EF4-FFF2-40B4-BE49-F238E27FC236}">
                  <a16:creationId xmlns:a16="http://schemas.microsoft.com/office/drawing/2014/main" id="{00000000-0008-0000-03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88</xdr:row>
          <xdr:rowOff>180975</xdr:rowOff>
        </xdr:from>
        <xdr:to>
          <xdr:col>4</xdr:col>
          <xdr:colOff>171450</xdr:colOff>
          <xdr:row>90</xdr:row>
          <xdr:rowOff>0</xdr:rowOff>
        </xdr:to>
        <xdr:sp macro="" textlink="">
          <xdr:nvSpPr>
            <xdr:cNvPr id="12" name="Option Button 261" hidden="1">
              <a:extLst>
                <a:ext uri="{63B3BB69-23CF-44E3-9099-C40C66FF867C}">
                  <a14:compatExt spid="_x0000_s5381"/>
                </a:ext>
                <a:ext uri="{FF2B5EF4-FFF2-40B4-BE49-F238E27FC236}">
                  <a16:creationId xmlns:a16="http://schemas.microsoft.com/office/drawing/2014/main" id="{00000000-0008-0000-0300-00000C0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89</xdr:row>
          <xdr:rowOff>180975</xdr:rowOff>
        </xdr:from>
        <xdr:to>
          <xdr:col>4</xdr:col>
          <xdr:colOff>171450</xdr:colOff>
          <xdr:row>91</xdr:row>
          <xdr:rowOff>9525</xdr:rowOff>
        </xdr:to>
        <xdr:sp macro="" textlink="">
          <xdr:nvSpPr>
            <xdr:cNvPr id="13" name="Option Button 262" hidden="1">
              <a:extLst>
                <a:ext uri="{63B3BB69-23CF-44E3-9099-C40C66FF867C}">
                  <a14:compatExt spid="_x0000_s5382"/>
                </a:ext>
                <a:ext uri="{FF2B5EF4-FFF2-40B4-BE49-F238E27FC236}">
                  <a16:creationId xmlns:a16="http://schemas.microsoft.com/office/drawing/2014/main" id="{00000000-0008-0000-03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89</xdr:row>
          <xdr:rowOff>180975</xdr:rowOff>
        </xdr:from>
        <xdr:to>
          <xdr:col>4</xdr:col>
          <xdr:colOff>171450</xdr:colOff>
          <xdr:row>91</xdr:row>
          <xdr:rowOff>9525</xdr:rowOff>
        </xdr:to>
        <xdr:sp macro="" textlink="">
          <xdr:nvSpPr>
            <xdr:cNvPr id="5383" name="Option Button 263" hidden="1">
              <a:extLst>
                <a:ext uri="{63B3BB69-23CF-44E3-9099-C40C66FF867C}">
                  <a14:compatExt spid="_x0000_s5383"/>
                </a:ext>
                <a:ext uri="{FF2B5EF4-FFF2-40B4-BE49-F238E27FC236}">
                  <a16:creationId xmlns:a16="http://schemas.microsoft.com/office/drawing/2014/main" id="{00000000-0008-0000-0300-000007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90</xdr:row>
          <xdr:rowOff>180975</xdr:rowOff>
        </xdr:from>
        <xdr:to>
          <xdr:col>4</xdr:col>
          <xdr:colOff>171450</xdr:colOff>
          <xdr:row>92</xdr:row>
          <xdr:rowOff>9525</xdr:rowOff>
        </xdr:to>
        <xdr:sp macro="" textlink="">
          <xdr:nvSpPr>
            <xdr:cNvPr id="14" name="Option Button 264" hidden="1">
              <a:extLst>
                <a:ext uri="{63B3BB69-23CF-44E3-9099-C40C66FF867C}">
                  <a14:compatExt spid="_x0000_s5384"/>
                </a:ext>
                <a:ext uri="{FF2B5EF4-FFF2-40B4-BE49-F238E27FC236}">
                  <a16:creationId xmlns:a16="http://schemas.microsoft.com/office/drawing/2014/main" id="{00000000-0008-0000-03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90</xdr:row>
          <xdr:rowOff>180975</xdr:rowOff>
        </xdr:from>
        <xdr:to>
          <xdr:col>4</xdr:col>
          <xdr:colOff>171450</xdr:colOff>
          <xdr:row>92</xdr:row>
          <xdr:rowOff>9525</xdr:rowOff>
        </xdr:to>
        <xdr:sp macro="" textlink="">
          <xdr:nvSpPr>
            <xdr:cNvPr id="15" name="Option Button 265" hidden="1">
              <a:extLst>
                <a:ext uri="{63B3BB69-23CF-44E3-9099-C40C66FF867C}">
                  <a14:compatExt spid="_x0000_s5385"/>
                </a:ext>
                <a:ext uri="{FF2B5EF4-FFF2-40B4-BE49-F238E27FC236}">
                  <a16:creationId xmlns:a16="http://schemas.microsoft.com/office/drawing/2014/main" id="{00000000-0008-0000-03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85</xdr:row>
          <xdr:rowOff>9525</xdr:rowOff>
        </xdr:from>
        <xdr:to>
          <xdr:col>1</xdr:col>
          <xdr:colOff>19050</xdr:colOff>
          <xdr:row>86</xdr:row>
          <xdr:rowOff>38100</xdr:rowOff>
        </xdr:to>
        <xdr:sp macro="" textlink="">
          <xdr:nvSpPr>
            <xdr:cNvPr id="16" name="Option Button 266" hidden="1">
              <a:extLst>
                <a:ext uri="{63B3BB69-23CF-44E3-9099-C40C66FF867C}">
                  <a14:compatExt spid="_x0000_s5386"/>
                </a:ext>
                <a:ext uri="{FF2B5EF4-FFF2-40B4-BE49-F238E27FC236}">
                  <a16:creationId xmlns:a16="http://schemas.microsoft.com/office/drawing/2014/main" id="{00000000-0008-0000-03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390525</xdr:colOff>
          <xdr:row>85</xdr:row>
          <xdr:rowOff>0</xdr:rowOff>
        </xdr:from>
        <xdr:to>
          <xdr:col>11</xdr:col>
          <xdr:colOff>28575</xdr:colOff>
          <xdr:row>99</xdr:row>
          <xdr:rowOff>57150</xdr:rowOff>
        </xdr:to>
        <xdr:sp macro="" textlink="">
          <xdr:nvSpPr>
            <xdr:cNvPr id="17" name="Group Box 267" hidden="1">
              <a:extLst>
                <a:ext uri="{63B3BB69-23CF-44E3-9099-C40C66FF867C}">
                  <a14:compatExt spid="_x0000_s5387"/>
                </a:ext>
                <a:ext uri="{FF2B5EF4-FFF2-40B4-BE49-F238E27FC236}">
                  <a16:creationId xmlns:a16="http://schemas.microsoft.com/office/drawing/2014/main" id="{00000000-0008-0000-0300-0000110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777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90</xdr:row>
          <xdr:rowOff>180975</xdr:rowOff>
        </xdr:from>
        <xdr:to>
          <xdr:col>4</xdr:col>
          <xdr:colOff>171450</xdr:colOff>
          <xdr:row>92</xdr:row>
          <xdr:rowOff>9525</xdr:rowOff>
        </xdr:to>
        <xdr:sp macro="" textlink="">
          <xdr:nvSpPr>
            <xdr:cNvPr id="5388" name="Option Button 268" hidden="1">
              <a:extLst>
                <a:ext uri="{63B3BB69-23CF-44E3-9099-C40C66FF867C}">
                  <a14:compatExt spid="_x0000_s5388"/>
                </a:ext>
                <a:ext uri="{FF2B5EF4-FFF2-40B4-BE49-F238E27FC236}">
                  <a16:creationId xmlns:a16="http://schemas.microsoft.com/office/drawing/2014/main" id="{00000000-0008-0000-0300-00000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90</xdr:row>
          <xdr:rowOff>190500</xdr:rowOff>
        </xdr:from>
        <xdr:to>
          <xdr:col>4</xdr:col>
          <xdr:colOff>171450</xdr:colOff>
          <xdr:row>92</xdr:row>
          <xdr:rowOff>19050</xdr:rowOff>
        </xdr:to>
        <xdr:sp macro="" textlink="">
          <xdr:nvSpPr>
            <xdr:cNvPr id="5389" name="Option Button 269" hidden="1">
              <a:extLst>
                <a:ext uri="{63B3BB69-23CF-44E3-9099-C40C66FF867C}">
                  <a14:compatExt spid="_x0000_s5389"/>
                </a:ext>
                <a:ext uri="{FF2B5EF4-FFF2-40B4-BE49-F238E27FC236}">
                  <a16:creationId xmlns:a16="http://schemas.microsoft.com/office/drawing/2014/main" id="{00000000-0008-0000-0300-00000D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91</xdr:row>
          <xdr:rowOff>180975</xdr:rowOff>
        </xdr:from>
        <xdr:to>
          <xdr:col>4</xdr:col>
          <xdr:colOff>171450</xdr:colOff>
          <xdr:row>93</xdr:row>
          <xdr:rowOff>9525</xdr:rowOff>
        </xdr:to>
        <xdr:sp macro="" textlink="">
          <xdr:nvSpPr>
            <xdr:cNvPr id="18" name="Option Button 270" hidden="1">
              <a:extLst>
                <a:ext uri="{63B3BB69-23CF-44E3-9099-C40C66FF867C}">
                  <a14:compatExt spid="_x0000_s5390"/>
                </a:ext>
                <a:ext uri="{FF2B5EF4-FFF2-40B4-BE49-F238E27FC236}">
                  <a16:creationId xmlns:a16="http://schemas.microsoft.com/office/drawing/2014/main" id="{00000000-0008-0000-0300-00001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91</xdr:row>
          <xdr:rowOff>180975</xdr:rowOff>
        </xdr:from>
        <xdr:to>
          <xdr:col>4</xdr:col>
          <xdr:colOff>171450</xdr:colOff>
          <xdr:row>93</xdr:row>
          <xdr:rowOff>9525</xdr:rowOff>
        </xdr:to>
        <xdr:sp macro="" textlink="">
          <xdr:nvSpPr>
            <xdr:cNvPr id="19" name="Option Button 271" hidden="1">
              <a:extLst>
                <a:ext uri="{63B3BB69-23CF-44E3-9099-C40C66FF867C}">
                  <a14:compatExt spid="_x0000_s5391"/>
                </a:ext>
                <a:ext uri="{FF2B5EF4-FFF2-40B4-BE49-F238E27FC236}">
                  <a16:creationId xmlns:a16="http://schemas.microsoft.com/office/drawing/2014/main" id="{00000000-0008-0000-0300-00001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91</xdr:row>
          <xdr:rowOff>180975</xdr:rowOff>
        </xdr:from>
        <xdr:to>
          <xdr:col>4</xdr:col>
          <xdr:colOff>171450</xdr:colOff>
          <xdr:row>93</xdr:row>
          <xdr:rowOff>9525</xdr:rowOff>
        </xdr:to>
        <xdr:sp macro="" textlink="">
          <xdr:nvSpPr>
            <xdr:cNvPr id="20" name="Option Button 272" hidden="1">
              <a:extLst>
                <a:ext uri="{63B3BB69-23CF-44E3-9099-C40C66FF867C}">
                  <a14:compatExt spid="_x0000_s5392"/>
                </a:ext>
                <a:ext uri="{FF2B5EF4-FFF2-40B4-BE49-F238E27FC236}">
                  <a16:creationId xmlns:a16="http://schemas.microsoft.com/office/drawing/2014/main" id="{00000000-0008-0000-0300-00001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91</xdr:row>
          <xdr:rowOff>180975</xdr:rowOff>
        </xdr:from>
        <xdr:to>
          <xdr:col>4</xdr:col>
          <xdr:colOff>171450</xdr:colOff>
          <xdr:row>93</xdr:row>
          <xdr:rowOff>9525</xdr:rowOff>
        </xdr:to>
        <xdr:sp macro="" textlink="">
          <xdr:nvSpPr>
            <xdr:cNvPr id="5393" name="Option Button 273" hidden="1">
              <a:extLst>
                <a:ext uri="{63B3BB69-23CF-44E3-9099-C40C66FF867C}">
                  <a14:compatExt spid="_x0000_s5393"/>
                </a:ext>
                <a:ext uri="{FF2B5EF4-FFF2-40B4-BE49-F238E27FC236}">
                  <a16:creationId xmlns:a16="http://schemas.microsoft.com/office/drawing/2014/main" id="{00000000-0008-0000-0300-000011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92</xdr:row>
          <xdr:rowOff>180975</xdr:rowOff>
        </xdr:from>
        <xdr:to>
          <xdr:col>4</xdr:col>
          <xdr:colOff>171450</xdr:colOff>
          <xdr:row>94</xdr:row>
          <xdr:rowOff>9525</xdr:rowOff>
        </xdr:to>
        <xdr:sp macro="" textlink="">
          <xdr:nvSpPr>
            <xdr:cNvPr id="5394" name="Option Button 274" hidden="1">
              <a:extLst>
                <a:ext uri="{63B3BB69-23CF-44E3-9099-C40C66FF867C}">
                  <a14:compatExt spid="_x0000_s5394"/>
                </a:ext>
                <a:ext uri="{FF2B5EF4-FFF2-40B4-BE49-F238E27FC236}">
                  <a16:creationId xmlns:a16="http://schemas.microsoft.com/office/drawing/2014/main" id="{00000000-0008-0000-0300-00001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92</xdr:row>
          <xdr:rowOff>180975</xdr:rowOff>
        </xdr:from>
        <xdr:to>
          <xdr:col>4</xdr:col>
          <xdr:colOff>171450</xdr:colOff>
          <xdr:row>94</xdr:row>
          <xdr:rowOff>9525</xdr:rowOff>
        </xdr:to>
        <xdr:sp macro="" textlink="">
          <xdr:nvSpPr>
            <xdr:cNvPr id="21" name="Option Button 275" hidden="1">
              <a:extLst>
                <a:ext uri="{63B3BB69-23CF-44E3-9099-C40C66FF867C}">
                  <a14:compatExt spid="_x0000_s5395"/>
                </a:ext>
                <a:ext uri="{FF2B5EF4-FFF2-40B4-BE49-F238E27FC236}">
                  <a16:creationId xmlns:a16="http://schemas.microsoft.com/office/drawing/2014/main" id="{00000000-0008-0000-0300-00001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92</xdr:row>
          <xdr:rowOff>180975</xdr:rowOff>
        </xdr:from>
        <xdr:to>
          <xdr:col>4</xdr:col>
          <xdr:colOff>171450</xdr:colOff>
          <xdr:row>94</xdr:row>
          <xdr:rowOff>9525</xdr:rowOff>
        </xdr:to>
        <xdr:sp macro="" textlink="">
          <xdr:nvSpPr>
            <xdr:cNvPr id="22" name="Option Button 276" hidden="1">
              <a:extLst>
                <a:ext uri="{63B3BB69-23CF-44E3-9099-C40C66FF867C}">
                  <a14:compatExt spid="_x0000_s5396"/>
                </a:ext>
                <a:ext uri="{FF2B5EF4-FFF2-40B4-BE49-F238E27FC236}">
                  <a16:creationId xmlns:a16="http://schemas.microsoft.com/office/drawing/2014/main" id="{00000000-0008-0000-0300-00001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92</xdr:row>
          <xdr:rowOff>180975</xdr:rowOff>
        </xdr:from>
        <xdr:to>
          <xdr:col>4</xdr:col>
          <xdr:colOff>171450</xdr:colOff>
          <xdr:row>94</xdr:row>
          <xdr:rowOff>9525</xdr:rowOff>
        </xdr:to>
        <xdr:sp macro="" textlink="">
          <xdr:nvSpPr>
            <xdr:cNvPr id="23" name="Option Button 277" hidden="1">
              <a:extLst>
                <a:ext uri="{63B3BB69-23CF-44E3-9099-C40C66FF867C}">
                  <a14:compatExt spid="_x0000_s5397"/>
                </a:ext>
                <a:ext uri="{FF2B5EF4-FFF2-40B4-BE49-F238E27FC236}">
                  <a16:creationId xmlns:a16="http://schemas.microsoft.com/office/drawing/2014/main" id="{00000000-0008-0000-0300-0000170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93</xdr:row>
          <xdr:rowOff>180975</xdr:rowOff>
        </xdr:from>
        <xdr:to>
          <xdr:col>4</xdr:col>
          <xdr:colOff>171450</xdr:colOff>
          <xdr:row>95</xdr:row>
          <xdr:rowOff>0</xdr:rowOff>
        </xdr:to>
        <xdr:sp macro="" textlink="">
          <xdr:nvSpPr>
            <xdr:cNvPr id="24" name="Option Button 278" hidden="1">
              <a:extLst>
                <a:ext uri="{63B3BB69-23CF-44E3-9099-C40C66FF867C}">
                  <a14:compatExt spid="_x0000_s5398"/>
                </a:ext>
                <a:ext uri="{FF2B5EF4-FFF2-40B4-BE49-F238E27FC236}">
                  <a16:creationId xmlns:a16="http://schemas.microsoft.com/office/drawing/2014/main" id="{00000000-0008-0000-0300-00001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93</xdr:row>
          <xdr:rowOff>180975</xdr:rowOff>
        </xdr:from>
        <xdr:to>
          <xdr:col>4</xdr:col>
          <xdr:colOff>171450</xdr:colOff>
          <xdr:row>95</xdr:row>
          <xdr:rowOff>0</xdr:rowOff>
        </xdr:to>
        <xdr:sp macro="" textlink="">
          <xdr:nvSpPr>
            <xdr:cNvPr id="25" name="Option Button 279" hidden="1">
              <a:extLst>
                <a:ext uri="{63B3BB69-23CF-44E3-9099-C40C66FF867C}">
                  <a14:compatExt spid="_x0000_s5399"/>
                </a:ext>
                <a:ext uri="{FF2B5EF4-FFF2-40B4-BE49-F238E27FC236}">
                  <a16:creationId xmlns:a16="http://schemas.microsoft.com/office/drawing/2014/main" id="{00000000-0008-0000-0300-00001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93</xdr:row>
          <xdr:rowOff>180975</xdr:rowOff>
        </xdr:from>
        <xdr:to>
          <xdr:col>4</xdr:col>
          <xdr:colOff>171450</xdr:colOff>
          <xdr:row>95</xdr:row>
          <xdr:rowOff>0</xdr:rowOff>
        </xdr:to>
        <xdr:sp macro="" textlink="">
          <xdr:nvSpPr>
            <xdr:cNvPr id="26" name="Option Button 280" hidden="1">
              <a:extLst>
                <a:ext uri="{63B3BB69-23CF-44E3-9099-C40C66FF867C}">
                  <a14:compatExt spid="_x0000_s5400"/>
                </a:ext>
                <a:ext uri="{FF2B5EF4-FFF2-40B4-BE49-F238E27FC236}">
                  <a16:creationId xmlns:a16="http://schemas.microsoft.com/office/drawing/2014/main" id="{00000000-0008-0000-0300-00001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93</xdr:row>
          <xdr:rowOff>180975</xdr:rowOff>
        </xdr:from>
        <xdr:to>
          <xdr:col>4</xdr:col>
          <xdr:colOff>171450</xdr:colOff>
          <xdr:row>95</xdr:row>
          <xdr:rowOff>0</xdr:rowOff>
        </xdr:to>
        <xdr:sp macro="" textlink="">
          <xdr:nvSpPr>
            <xdr:cNvPr id="5401" name="Option Button 281" hidden="1">
              <a:extLst>
                <a:ext uri="{63B3BB69-23CF-44E3-9099-C40C66FF867C}">
                  <a14:compatExt spid="_x0000_s5401"/>
                </a:ext>
                <a:ext uri="{FF2B5EF4-FFF2-40B4-BE49-F238E27FC236}">
                  <a16:creationId xmlns:a16="http://schemas.microsoft.com/office/drawing/2014/main" id="{00000000-0008-0000-0300-00001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93</xdr:row>
          <xdr:rowOff>180975</xdr:rowOff>
        </xdr:from>
        <xdr:to>
          <xdr:col>4</xdr:col>
          <xdr:colOff>171450</xdr:colOff>
          <xdr:row>95</xdr:row>
          <xdr:rowOff>0</xdr:rowOff>
        </xdr:to>
        <xdr:sp macro="" textlink="">
          <xdr:nvSpPr>
            <xdr:cNvPr id="5402" name="Option Button 282" hidden="1">
              <a:extLst>
                <a:ext uri="{63B3BB69-23CF-44E3-9099-C40C66FF867C}">
                  <a14:compatExt spid="_x0000_s5402"/>
                </a:ext>
                <a:ext uri="{FF2B5EF4-FFF2-40B4-BE49-F238E27FC236}">
                  <a16:creationId xmlns:a16="http://schemas.microsoft.com/office/drawing/2014/main" id="{00000000-0008-0000-0300-00001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93</xdr:row>
          <xdr:rowOff>180975</xdr:rowOff>
        </xdr:from>
        <xdr:to>
          <xdr:col>4</xdr:col>
          <xdr:colOff>171450</xdr:colOff>
          <xdr:row>95</xdr:row>
          <xdr:rowOff>0</xdr:rowOff>
        </xdr:to>
        <xdr:sp macro="" textlink="">
          <xdr:nvSpPr>
            <xdr:cNvPr id="5403" name="Option Button 283" hidden="1">
              <a:extLst>
                <a:ext uri="{63B3BB69-23CF-44E3-9099-C40C66FF867C}">
                  <a14:compatExt spid="_x0000_s5403"/>
                </a:ext>
                <a:ext uri="{FF2B5EF4-FFF2-40B4-BE49-F238E27FC236}">
                  <a16:creationId xmlns:a16="http://schemas.microsoft.com/office/drawing/2014/main" id="{00000000-0008-0000-0300-00001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93</xdr:row>
          <xdr:rowOff>180975</xdr:rowOff>
        </xdr:from>
        <xdr:to>
          <xdr:col>4</xdr:col>
          <xdr:colOff>171450</xdr:colOff>
          <xdr:row>95</xdr:row>
          <xdr:rowOff>0</xdr:rowOff>
        </xdr:to>
        <xdr:sp macro="" textlink="">
          <xdr:nvSpPr>
            <xdr:cNvPr id="5404" name="Option Button 284" hidden="1">
              <a:extLst>
                <a:ext uri="{63B3BB69-23CF-44E3-9099-C40C66FF867C}">
                  <a14:compatExt spid="_x0000_s5404"/>
                </a:ext>
                <a:ext uri="{FF2B5EF4-FFF2-40B4-BE49-F238E27FC236}">
                  <a16:creationId xmlns:a16="http://schemas.microsoft.com/office/drawing/2014/main" id="{00000000-0008-0000-0300-00001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93</xdr:row>
          <xdr:rowOff>180975</xdr:rowOff>
        </xdr:from>
        <xdr:to>
          <xdr:col>4</xdr:col>
          <xdr:colOff>171450</xdr:colOff>
          <xdr:row>95</xdr:row>
          <xdr:rowOff>0</xdr:rowOff>
        </xdr:to>
        <xdr:sp macro="" textlink="">
          <xdr:nvSpPr>
            <xdr:cNvPr id="5405" name="Option Button 285" hidden="1">
              <a:extLst>
                <a:ext uri="{63B3BB69-23CF-44E3-9099-C40C66FF867C}">
                  <a14:compatExt spid="_x0000_s5405"/>
                </a:ext>
                <a:ext uri="{FF2B5EF4-FFF2-40B4-BE49-F238E27FC236}">
                  <a16:creationId xmlns:a16="http://schemas.microsoft.com/office/drawing/2014/main" id="{00000000-0008-0000-0300-00001D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94</xdr:row>
          <xdr:rowOff>180975</xdr:rowOff>
        </xdr:from>
        <xdr:to>
          <xdr:col>4</xdr:col>
          <xdr:colOff>171450</xdr:colOff>
          <xdr:row>96</xdr:row>
          <xdr:rowOff>0</xdr:rowOff>
        </xdr:to>
        <xdr:sp macro="" textlink="">
          <xdr:nvSpPr>
            <xdr:cNvPr id="5406" name="Option Button 286" hidden="1">
              <a:extLst>
                <a:ext uri="{63B3BB69-23CF-44E3-9099-C40C66FF867C}">
                  <a14:compatExt spid="_x0000_s5406"/>
                </a:ext>
                <a:ext uri="{FF2B5EF4-FFF2-40B4-BE49-F238E27FC236}">
                  <a16:creationId xmlns:a16="http://schemas.microsoft.com/office/drawing/2014/main" id="{00000000-0008-0000-0300-00001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94</xdr:row>
          <xdr:rowOff>180975</xdr:rowOff>
        </xdr:from>
        <xdr:to>
          <xdr:col>4</xdr:col>
          <xdr:colOff>171450</xdr:colOff>
          <xdr:row>96</xdr:row>
          <xdr:rowOff>0</xdr:rowOff>
        </xdr:to>
        <xdr:sp macro="" textlink="">
          <xdr:nvSpPr>
            <xdr:cNvPr id="5407" name="Option Button 287" hidden="1">
              <a:extLst>
                <a:ext uri="{63B3BB69-23CF-44E3-9099-C40C66FF867C}">
                  <a14:compatExt spid="_x0000_s5407"/>
                </a:ext>
                <a:ext uri="{FF2B5EF4-FFF2-40B4-BE49-F238E27FC236}">
                  <a16:creationId xmlns:a16="http://schemas.microsoft.com/office/drawing/2014/main" id="{00000000-0008-0000-0300-00001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94</xdr:row>
          <xdr:rowOff>180975</xdr:rowOff>
        </xdr:from>
        <xdr:to>
          <xdr:col>4</xdr:col>
          <xdr:colOff>171450</xdr:colOff>
          <xdr:row>96</xdr:row>
          <xdr:rowOff>0</xdr:rowOff>
        </xdr:to>
        <xdr:sp macro="" textlink="">
          <xdr:nvSpPr>
            <xdr:cNvPr id="5408" name="Option Button 288" hidden="1">
              <a:extLst>
                <a:ext uri="{63B3BB69-23CF-44E3-9099-C40C66FF867C}">
                  <a14:compatExt spid="_x0000_s5408"/>
                </a:ext>
                <a:ext uri="{FF2B5EF4-FFF2-40B4-BE49-F238E27FC236}">
                  <a16:creationId xmlns:a16="http://schemas.microsoft.com/office/drawing/2014/main" id="{00000000-0008-0000-0300-00002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94</xdr:row>
          <xdr:rowOff>180975</xdr:rowOff>
        </xdr:from>
        <xdr:to>
          <xdr:col>4</xdr:col>
          <xdr:colOff>171450</xdr:colOff>
          <xdr:row>96</xdr:row>
          <xdr:rowOff>0</xdr:rowOff>
        </xdr:to>
        <xdr:sp macro="" textlink="">
          <xdr:nvSpPr>
            <xdr:cNvPr id="5409" name="Option Button 289" hidden="1">
              <a:extLst>
                <a:ext uri="{63B3BB69-23CF-44E3-9099-C40C66FF867C}">
                  <a14:compatExt spid="_x0000_s5409"/>
                </a:ext>
                <a:ext uri="{FF2B5EF4-FFF2-40B4-BE49-F238E27FC236}">
                  <a16:creationId xmlns:a16="http://schemas.microsoft.com/office/drawing/2014/main" id="{00000000-0008-0000-0300-00002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94</xdr:row>
          <xdr:rowOff>180975</xdr:rowOff>
        </xdr:from>
        <xdr:to>
          <xdr:col>4</xdr:col>
          <xdr:colOff>171450</xdr:colOff>
          <xdr:row>96</xdr:row>
          <xdr:rowOff>0</xdr:rowOff>
        </xdr:to>
        <xdr:sp macro="" textlink="">
          <xdr:nvSpPr>
            <xdr:cNvPr id="5410" name="Option Button 290" hidden="1">
              <a:extLst>
                <a:ext uri="{63B3BB69-23CF-44E3-9099-C40C66FF867C}">
                  <a14:compatExt spid="_x0000_s5410"/>
                </a:ext>
                <a:ext uri="{FF2B5EF4-FFF2-40B4-BE49-F238E27FC236}">
                  <a16:creationId xmlns:a16="http://schemas.microsoft.com/office/drawing/2014/main" id="{00000000-0008-0000-0300-00002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94</xdr:row>
          <xdr:rowOff>180975</xdr:rowOff>
        </xdr:from>
        <xdr:to>
          <xdr:col>4</xdr:col>
          <xdr:colOff>171450</xdr:colOff>
          <xdr:row>96</xdr:row>
          <xdr:rowOff>0</xdr:rowOff>
        </xdr:to>
        <xdr:sp macro="" textlink="">
          <xdr:nvSpPr>
            <xdr:cNvPr id="5411" name="Option Button 291" hidden="1">
              <a:extLst>
                <a:ext uri="{63B3BB69-23CF-44E3-9099-C40C66FF867C}">
                  <a14:compatExt spid="_x0000_s5411"/>
                </a:ext>
                <a:ext uri="{FF2B5EF4-FFF2-40B4-BE49-F238E27FC236}">
                  <a16:creationId xmlns:a16="http://schemas.microsoft.com/office/drawing/2014/main" id="{00000000-0008-0000-0300-00002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94</xdr:row>
          <xdr:rowOff>180975</xdr:rowOff>
        </xdr:from>
        <xdr:to>
          <xdr:col>4</xdr:col>
          <xdr:colOff>171450</xdr:colOff>
          <xdr:row>96</xdr:row>
          <xdr:rowOff>0</xdr:rowOff>
        </xdr:to>
        <xdr:sp macro="" textlink="">
          <xdr:nvSpPr>
            <xdr:cNvPr id="5412" name="Option Button 292" hidden="1">
              <a:extLst>
                <a:ext uri="{63B3BB69-23CF-44E3-9099-C40C66FF867C}">
                  <a14:compatExt spid="_x0000_s5412"/>
                </a:ext>
                <a:ext uri="{FF2B5EF4-FFF2-40B4-BE49-F238E27FC236}">
                  <a16:creationId xmlns:a16="http://schemas.microsoft.com/office/drawing/2014/main" id="{00000000-0008-0000-0300-00002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94</xdr:row>
          <xdr:rowOff>180975</xdr:rowOff>
        </xdr:from>
        <xdr:to>
          <xdr:col>4</xdr:col>
          <xdr:colOff>171450</xdr:colOff>
          <xdr:row>96</xdr:row>
          <xdr:rowOff>0</xdr:rowOff>
        </xdr:to>
        <xdr:sp macro="" textlink="">
          <xdr:nvSpPr>
            <xdr:cNvPr id="5413" name="Option Button 293" hidden="1">
              <a:extLst>
                <a:ext uri="{63B3BB69-23CF-44E3-9099-C40C66FF867C}">
                  <a14:compatExt spid="_x0000_s5413"/>
                </a:ext>
                <a:ext uri="{FF2B5EF4-FFF2-40B4-BE49-F238E27FC236}">
                  <a16:creationId xmlns:a16="http://schemas.microsoft.com/office/drawing/2014/main" id="{00000000-0008-0000-0300-000025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134</xdr:row>
          <xdr:rowOff>180975</xdr:rowOff>
        </xdr:from>
        <xdr:to>
          <xdr:col>5</xdr:col>
          <xdr:colOff>161925</xdr:colOff>
          <xdr:row>136</xdr:row>
          <xdr:rowOff>0</xdr:rowOff>
        </xdr:to>
        <xdr:sp macro="" textlink="">
          <xdr:nvSpPr>
            <xdr:cNvPr id="5414" name="Check Box 294" hidden="1">
              <a:extLst>
                <a:ext uri="{63B3BB69-23CF-44E3-9099-C40C66FF867C}">
                  <a14:compatExt spid="_x0000_s5414"/>
                </a:ext>
                <a:ext uri="{FF2B5EF4-FFF2-40B4-BE49-F238E27FC236}">
                  <a16:creationId xmlns:a16="http://schemas.microsoft.com/office/drawing/2014/main" id="{00000000-0008-0000-0300-000026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13</xdr:row>
          <xdr:rowOff>180975</xdr:rowOff>
        </xdr:from>
        <xdr:to>
          <xdr:col>1</xdr:col>
          <xdr:colOff>38100</xdr:colOff>
          <xdr:row>15</xdr:row>
          <xdr:rowOff>19050</xdr:rowOff>
        </xdr:to>
        <xdr:sp macro="" textlink="">
          <xdr:nvSpPr>
            <xdr:cNvPr id="5415" name="Option Button 295" hidden="1">
              <a:extLst>
                <a:ext uri="{63B3BB69-23CF-44E3-9099-C40C66FF867C}">
                  <a14:compatExt spid="_x0000_s5415"/>
                </a:ext>
                <a:ext uri="{FF2B5EF4-FFF2-40B4-BE49-F238E27FC236}">
                  <a16:creationId xmlns:a16="http://schemas.microsoft.com/office/drawing/2014/main" id="{00000000-0008-0000-0300-00002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15</xdr:row>
          <xdr:rowOff>180975</xdr:rowOff>
        </xdr:from>
        <xdr:to>
          <xdr:col>1</xdr:col>
          <xdr:colOff>38100</xdr:colOff>
          <xdr:row>17</xdr:row>
          <xdr:rowOff>19050</xdr:rowOff>
        </xdr:to>
        <xdr:sp macro="" textlink="">
          <xdr:nvSpPr>
            <xdr:cNvPr id="5416" name="Option Button 296" hidden="1">
              <a:extLst>
                <a:ext uri="{63B3BB69-23CF-44E3-9099-C40C66FF867C}">
                  <a14:compatExt spid="_x0000_s5416"/>
                </a:ext>
                <a:ext uri="{FF2B5EF4-FFF2-40B4-BE49-F238E27FC236}">
                  <a16:creationId xmlns:a16="http://schemas.microsoft.com/office/drawing/2014/main" id="{00000000-0008-0000-0300-00002815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16</xdr:row>
          <xdr:rowOff>180975</xdr:rowOff>
        </xdr:from>
        <xdr:to>
          <xdr:col>1</xdr:col>
          <xdr:colOff>38100</xdr:colOff>
          <xdr:row>18</xdr:row>
          <xdr:rowOff>19050</xdr:rowOff>
        </xdr:to>
        <xdr:sp macro="" textlink="">
          <xdr:nvSpPr>
            <xdr:cNvPr id="5417" name="Option Button 297" hidden="1">
              <a:extLst>
                <a:ext uri="{63B3BB69-23CF-44E3-9099-C40C66FF867C}">
                  <a14:compatExt spid="_x0000_s5417"/>
                </a:ext>
                <a:ext uri="{FF2B5EF4-FFF2-40B4-BE49-F238E27FC236}">
                  <a16:creationId xmlns:a16="http://schemas.microsoft.com/office/drawing/2014/main" id="{00000000-0008-0000-0300-00002915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15</xdr:row>
          <xdr:rowOff>0</xdr:rowOff>
        </xdr:from>
        <xdr:to>
          <xdr:col>1</xdr:col>
          <xdr:colOff>47625</xdr:colOff>
          <xdr:row>16</xdr:row>
          <xdr:rowOff>38100</xdr:rowOff>
        </xdr:to>
        <xdr:sp macro="" textlink="">
          <xdr:nvSpPr>
            <xdr:cNvPr id="5419" name="Option Button 299" hidden="1">
              <a:extLst>
                <a:ext uri="{63B3BB69-23CF-44E3-9099-C40C66FF867C}">
                  <a14:compatExt spid="_x0000_s5419"/>
                </a:ext>
                <a:ext uri="{FF2B5EF4-FFF2-40B4-BE49-F238E27FC236}">
                  <a16:creationId xmlns:a16="http://schemas.microsoft.com/office/drawing/2014/main" id="{00000000-0008-0000-0300-00002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561975</xdr:colOff>
          <xdr:row>29</xdr:row>
          <xdr:rowOff>171450</xdr:rowOff>
        </xdr:from>
        <xdr:to>
          <xdr:col>8</xdr:col>
          <xdr:colOff>114300</xdr:colOff>
          <xdr:row>31</xdr:row>
          <xdr:rowOff>9525</xdr:rowOff>
        </xdr:to>
        <xdr:sp macro="" textlink="">
          <xdr:nvSpPr>
            <xdr:cNvPr id="5423" name="Option Button 303" hidden="1">
              <a:extLst>
                <a:ext uri="{63B3BB69-23CF-44E3-9099-C40C66FF867C}">
                  <a14:compatExt spid="_x0000_s5423"/>
                </a:ext>
                <a:ext uri="{FF2B5EF4-FFF2-40B4-BE49-F238E27FC236}">
                  <a16:creationId xmlns:a16="http://schemas.microsoft.com/office/drawing/2014/main" id="{00000000-0008-0000-0300-00002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29</xdr:row>
          <xdr:rowOff>180975</xdr:rowOff>
        </xdr:from>
        <xdr:to>
          <xdr:col>6</xdr:col>
          <xdr:colOff>114300</xdr:colOff>
          <xdr:row>31</xdr:row>
          <xdr:rowOff>19050</xdr:rowOff>
        </xdr:to>
        <xdr:sp macro="" textlink="">
          <xdr:nvSpPr>
            <xdr:cNvPr id="5424" name="Option Button 304" hidden="1">
              <a:extLst>
                <a:ext uri="{63B3BB69-23CF-44E3-9099-C40C66FF867C}">
                  <a14:compatExt spid="_x0000_s5424"/>
                </a:ext>
                <a:ext uri="{FF2B5EF4-FFF2-40B4-BE49-F238E27FC236}">
                  <a16:creationId xmlns:a16="http://schemas.microsoft.com/office/drawing/2014/main" id="{00000000-0008-0000-0300-00003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30</xdr:row>
          <xdr:rowOff>0</xdr:rowOff>
        </xdr:from>
        <xdr:to>
          <xdr:col>9</xdr:col>
          <xdr:colOff>47625</xdr:colOff>
          <xdr:row>31</xdr:row>
          <xdr:rowOff>28575</xdr:rowOff>
        </xdr:to>
        <xdr:sp macro="" textlink="">
          <xdr:nvSpPr>
            <xdr:cNvPr id="5425" name="Option Button 305" hidden="1">
              <a:extLst>
                <a:ext uri="{63B3BB69-23CF-44E3-9099-C40C66FF867C}">
                  <a14:compatExt spid="_x0000_s5425"/>
                </a:ext>
                <a:ext uri="{FF2B5EF4-FFF2-40B4-BE49-F238E27FC236}">
                  <a16:creationId xmlns:a16="http://schemas.microsoft.com/office/drawing/2014/main" id="{00000000-0008-0000-0300-00003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42</xdr:row>
          <xdr:rowOff>161925</xdr:rowOff>
        </xdr:from>
        <xdr:to>
          <xdr:col>4</xdr:col>
          <xdr:colOff>200025</xdr:colOff>
          <xdr:row>44</xdr:row>
          <xdr:rowOff>9525</xdr:rowOff>
        </xdr:to>
        <xdr:sp macro="" textlink="">
          <xdr:nvSpPr>
            <xdr:cNvPr id="5426" name="Option Button 306" hidden="1">
              <a:extLst>
                <a:ext uri="{63B3BB69-23CF-44E3-9099-C40C66FF867C}">
                  <a14:compatExt spid="_x0000_s5426"/>
                </a:ext>
                <a:ext uri="{FF2B5EF4-FFF2-40B4-BE49-F238E27FC236}">
                  <a16:creationId xmlns:a16="http://schemas.microsoft.com/office/drawing/2014/main" id="{00000000-0008-0000-0300-000032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22</xdr:row>
          <xdr:rowOff>123825</xdr:rowOff>
        </xdr:from>
        <xdr:to>
          <xdr:col>8</xdr:col>
          <xdr:colOff>85725</xdr:colOff>
          <xdr:row>27</xdr:row>
          <xdr:rowOff>38100</xdr:rowOff>
        </xdr:to>
        <xdr:sp macro="" textlink="">
          <xdr:nvSpPr>
            <xdr:cNvPr id="5427" name="Group Box 307" hidden="1">
              <a:extLst>
                <a:ext uri="{63B3BB69-23CF-44E3-9099-C40C66FF867C}">
                  <a14:compatExt spid="_x0000_s5427"/>
                </a:ext>
                <a:ext uri="{FF2B5EF4-FFF2-40B4-BE49-F238E27FC236}">
                  <a16:creationId xmlns:a16="http://schemas.microsoft.com/office/drawing/2014/main" id="{00000000-0008-0000-0300-000033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843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29</xdr:row>
          <xdr:rowOff>171450</xdr:rowOff>
        </xdr:from>
        <xdr:to>
          <xdr:col>10</xdr:col>
          <xdr:colOff>438150</xdr:colOff>
          <xdr:row>33</xdr:row>
          <xdr:rowOff>104775</xdr:rowOff>
        </xdr:to>
        <xdr:sp macro="" textlink="">
          <xdr:nvSpPr>
            <xdr:cNvPr id="5428" name="Group Box 308" hidden="1">
              <a:extLst>
                <a:ext uri="{63B3BB69-23CF-44E3-9099-C40C66FF867C}">
                  <a14:compatExt spid="_x0000_s5428"/>
                </a:ext>
                <a:ext uri="{FF2B5EF4-FFF2-40B4-BE49-F238E27FC236}">
                  <a16:creationId xmlns:a16="http://schemas.microsoft.com/office/drawing/2014/main" id="{00000000-0008-0000-0300-000034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845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42</xdr:row>
          <xdr:rowOff>0</xdr:rowOff>
        </xdr:from>
        <xdr:to>
          <xdr:col>7</xdr:col>
          <xdr:colOff>447675</xdr:colOff>
          <xdr:row>43</xdr:row>
          <xdr:rowOff>28575</xdr:rowOff>
        </xdr:to>
        <xdr:sp macro="" textlink="">
          <xdr:nvSpPr>
            <xdr:cNvPr id="5430" name="Option Button 310" hidden="1">
              <a:extLst>
                <a:ext uri="{63B3BB69-23CF-44E3-9099-C40C66FF867C}">
                  <a14:compatExt spid="_x0000_s5430"/>
                </a:ext>
                <a:ext uri="{FF2B5EF4-FFF2-40B4-BE49-F238E27FC236}">
                  <a16:creationId xmlns:a16="http://schemas.microsoft.com/office/drawing/2014/main" id="{00000000-0008-0000-0300-00003615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18</xdr:row>
          <xdr:rowOff>171450</xdr:rowOff>
        </xdr:from>
        <xdr:to>
          <xdr:col>1</xdr:col>
          <xdr:colOff>28575</xdr:colOff>
          <xdr:row>20</xdr:row>
          <xdr:rowOff>9525</xdr:rowOff>
        </xdr:to>
        <xdr:sp macro="" textlink="">
          <xdr:nvSpPr>
            <xdr:cNvPr id="5431" name="Option Button 311" hidden="1">
              <a:extLst>
                <a:ext uri="{63B3BB69-23CF-44E3-9099-C40C66FF867C}">
                  <a14:compatExt spid="_x0000_s5431"/>
                </a:ext>
                <a:ext uri="{FF2B5EF4-FFF2-40B4-BE49-F238E27FC236}">
                  <a16:creationId xmlns:a16="http://schemas.microsoft.com/office/drawing/2014/main" id="{00000000-0008-0000-0300-00003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xdr:row>
          <xdr:rowOff>95250</xdr:rowOff>
        </xdr:from>
        <xdr:to>
          <xdr:col>10</xdr:col>
          <xdr:colOff>485775</xdr:colOff>
          <xdr:row>23</xdr:row>
          <xdr:rowOff>28575</xdr:rowOff>
        </xdr:to>
        <xdr:sp macro="" textlink="">
          <xdr:nvSpPr>
            <xdr:cNvPr id="5432" name="Group Box 312" hidden="1">
              <a:extLst>
                <a:ext uri="{63B3BB69-23CF-44E3-9099-C40C66FF867C}">
                  <a14:compatExt spid="_x0000_s5432"/>
                </a:ext>
                <a:ext uri="{FF2B5EF4-FFF2-40B4-BE49-F238E27FC236}">
                  <a16:creationId xmlns:a16="http://schemas.microsoft.com/office/drawing/2014/main" id="{00000000-0008-0000-0300-000038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853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47625</xdr:rowOff>
        </xdr:from>
        <xdr:to>
          <xdr:col>6</xdr:col>
          <xdr:colOff>304800</xdr:colOff>
          <xdr:row>13</xdr:row>
          <xdr:rowOff>47625</xdr:rowOff>
        </xdr:to>
        <xdr:sp macro="" textlink="">
          <xdr:nvSpPr>
            <xdr:cNvPr id="5433" name="Group Box 313" hidden="1">
              <a:extLst>
                <a:ext uri="{63B3BB69-23CF-44E3-9099-C40C66FF867C}">
                  <a14:compatExt spid="_x0000_s5433"/>
                </a:ext>
                <a:ext uri="{FF2B5EF4-FFF2-40B4-BE49-F238E27FC236}">
                  <a16:creationId xmlns:a16="http://schemas.microsoft.com/office/drawing/2014/main" id="{00000000-0008-0000-0300-000039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854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619125</xdr:colOff>
          <xdr:row>62</xdr:row>
          <xdr:rowOff>171450</xdr:rowOff>
        </xdr:from>
        <xdr:to>
          <xdr:col>1</xdr:col>
          <xdr:colOff>66675</xdr:colOff>
          <xdr:row>64</xdr:row>
          <xdr:rowOff>19050</xdr:rowOff>
        </xdr:to>
        <xdr:sp macro="" textlink="">
          <xdr:nvSpPr>
            <xdr:cNvPr id="5435" name="Option Button 315" hidden="1">
              <a:extLst>
                <a:ext uri="{63B3BB69-23CF-44E3-9099-C40C66FF867C}">
                  <a14:compatExt spid="_x0000_s5435"/>
                </a:ext>
                <a:ext uri="{FF2B5EF4-FFF2-40B4-BE49-F238E27FC236}">
                  <a16:creationId xmlns:a16="http://schemas.microsoft.com/office/drawing/2014/main" id="{00000000-0008-0000-0300-00003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78</xdr:row>
          <xdr:rowOff>180975</xdr:rowOff>
        </xdr:from>
        <xdr:to>
          <xdr:col>4</xdr:col>
          <xdr:colOff>219075</xdr:colOff>
          <xdr:row>80</xdr:row>
          <xdr:rowOff>57150</xdr:rowOff>
        </xdr:to>
        <xdr:sp macro="" textlink="">
          <xdr:nvSpPr>
            <xdr:cNvPr id="5436" name="Option Button 316" hidden="1">
              <a:extLst>
                <a:ext uri="{63B3BB69-23CF-44E3-9099-C40C66FF867C}">
                  <a14:compatExt spid="_x0000_s5436"/>
                </a:ext>
                <a:ext uri="{FF2B5EF4-FFF2-40B4-BE49-F238E27FC236}">
                  <a16:creationId xmlns:a16="http://schemas.microsoft.com/office/drawing/2014/main" id="{00000000-0008-0000-0300-00003C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112</xdr:row>
          <xdr:rowOff>180975</xdr:rowOff>
        </xdr:from>
        <xdr:to>
          <xdr:col>8</xdr:col>
          <xdr:colOff>257175</xdr:colOff>
          <xdr:row>114</xdr:row>
          <xdr:rowOff>38100</xdr:rowOff>
        </xdr:to>
        <xdr:sp macro="" textlink="">
          <xdr:nvSpPr>
            <xdr:cNvPr id="5437" name="Option Button 317" hidden="1">
              <a:extLst>
                <a:ext uri="{63B3BB69-23CF-44E3-9099-C40C66FF867C}">
                  <a14:compatExt spid="_x0000_s5437"/>
                </a:ext>
                <a:ext uri="{FF2B5EF4-FFF2-40B4-BE49-F238E27FC236}">
                  <a16:creationId xmlns:a16="http://schemas.microsoft.com/office/drawing/2014/main" id="{00000000-0008-0000-0300-00003D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114</xdr:row>
          <xdr:rowOff>9525</xdr:rowOff>
        </xdr:from>
        <xdr:to>
          <xdr:col>8</xdr:col>
          <xdr:colOff>266700</xdr:colOff>
          <xdr:row>115</xdr:row>
          <xdr:rowOff>38100</xdr:rowOff>
        </xdr:to>
        <xdr:sp macro="" textlink="">
          <xdr:nvSpPr>
            <xdr:cNvPr id="5438" name="Option Button 318" hidden="1">
              <a:extLst>
                <a:ext uri="{63B3BB69-23CF-44E3-9099-C40C66FF867C}">
                  <a14:compatExt spid="_x0000_s5438"/>
                </a:ext>
                <a:ext uri="{FF2B5EF4-FFF2-40B4-BE49-F238E27FC236}">
                  <a16:creationId xmlns:a16="http://schemas.microsoft.com/office/drawing/2014/main" id="{00000000-0008-0000-0300-00003E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128</xdr:row>
          <xdr:rowOff>19050</xdr:rowOff>
        </xdr:from>
        <xdr:to>
          <xdr:col>5</xdr:col>
          <xdr:colOff>47625</xdr:colOff>
          <xdr:row>129</xdr:row>
          <xdr:rowOff>57150</xdr:rowOff>
        </xdr:to>
        <xdr:sp macro="" textlink="">
          <xdr:nvSpPr>
            <xdr:cNvPr id="5439" name="Option Button 319" hidden="1">
              <a:extLst>
                <a:ext uri="{63B3BB69-23CF-44E3-9099-C40C66FF867C}">
                  <a14:compatExt spid="_x0000_s5439"/>
                </a:ext>
                <a:ext uri="{FF2B5EF4-FFF2-40B4-BE49-F238E27FC236}">
                  <a16:creationId xmlns:a16="http://schemas.microsoft.com/office/drawing/2014/main" id="{00000000-0008-0000-0300-00003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127</xdr:row>
          <xdr:rowOff>19050</xdr:rowOff>
        </xdr:from>
        <xdr:to>
          <xdr:col>5</xdr:col>
          <xdr:colOff>47625</xdr:colOff>
          <xdr:row>128</xdr:row>
          <xdr:rowOff>28575</xdr:rowOff>
        </xdr:to>
        <xdr:sp macro="" textlink="">
          <xdr:nvSpPr>
            <xdr:cNvPr id="5440" name="Option Button 320" hidden="1">
              <a:extLst>
                <a:ext uri="{63B3BB69-23CF-44E3-9099-C40C66FF867C}">
                  <a14:compatExt spid="_x0000_s5440"/>
                </a:ext>
                <a:ext uri="{FF2B5EF4-FFF2-40B4-BE49-F238E27FC236}">
                  <a16:creationId xmlns:a16="http://schemas.microsoft.com/office/drawing/2014/main" id="{00000000-0008-0000-0300-00004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127</xdr:row>
          <xdr:rowOff>9525</xdr:rowOff>
        </xdr:from>
        <xdr:to>
          <xdr:col>6</xdr:col>
          <xdr:colOff>47625</xdr:colOff>
          <xdr:row>128</xdr:row>
          <xdr:rowOff>28575</xdr:rowOff>
        </xdr:to>
        <xdr:sp macro="" textlink="">
          <xdr:nvSpPr>
            <xdr:cNvPr id="5441" name="Check Box 321" hidden="1">
              <a:extLst>
                <a:ext uri="{63B3BB69-23CF-44E3-9099-C40C66FF867C}">
                  <a14:compatExt spid="_x0000_s5441"/>
                </a:ext>
                <a:ext uri="{FF2B5EF4-FFF2-40B4-BE49-F238E27FC236}">
                  <a16:creationId xmlns:a16="http://schemas.microsoft.com/office/drawing/2014/main" id="{00000000-0008-0000-0300-00004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19051</xdr:colOff>
      <xdr:row>13</xdr:row>
      <xdr:rowOff>120650</xdr:rowOff>
    </xdr:from>
    <xdr:to>
      <xdr:col>9</xdr:col>
      <xdr:colOff>596901</xdr:colOff>
      <xdr:row>20</xdr:row>
      <xdr:rowOff>95250</xdr:rowOff>
    </xdr:to>
    <xdr:sp macro="" textlink="">
      <xdr:nvSpPr>
        <xdr:cNvPr id="5495" name="Rectangle: Rounded Corners 5494">
          <a:extLst>
            <a:ext uri="{FF2B5EF4-FFF2-40B4-BE49-F238E27FC236}">
              <a16:creationId xmlns:a16="http://schemas.microsoft.com/office/drawing/2014/main" id="{00000000-0008-0000-0300-000077150000}"/>
            </a:ext>
          </a:extLst>
        </xdr:cNvPr>
        <xdr:cNvSpPr/>
      </xdr:nvSpPr>
      <xdr:spPr>
        <a:xfrm>
          <a:off x="19051" y="2800350"/>
          <a:ext cx="6400800" cy="1308100"/>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443" name="Option Button 323" hidden="1">
              <a:extLst>
                <a:ext uri="{63B3BB69-23CF-44E3-9099-C40C66FF867C}">
                  <a14:compatExt spid="_x0000_s5443"/>
                </a:ext>
                <a:ext uri="{FF2B5EF4-FFF2-40B4-BE49-F238E27FC236}">
                  <a16:creationId xmlns:a16="http://schemas.microsoft.com/office/drawing/2014/main" id="{00000000-0008-0000-0300-00004315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444" name="Option Button 324" hidden="1">
              <a:extLst>
                <a:ext uri="{63B3BB69-23CF-44E3-9099-C40C66FF867C}">
                  <a14:compatExt spid="_x0000_s5444"/>
                </a:ext>
                <a:ext uri="{FF2B5EF4-FFF2-40B4-BE49-F238E27FC236}">
                  <a16:creationId xmlns:a16="http://schemas.microsoft.com/office/drawing/2014/main" id="{00000000-0008-0000-0300-00004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619125</xdr:colOff>
          <xdr:row>135</xdr:row>
          <xdr:rowOff>76200</xdr:rowOff>
        </xdr:from>
        <xdr:to>
          <xdr:col>10</xdr:col>
          <xdr:colOff>85725</xdr:colOff>
          <xdr:row>145</xdr:row>
          <xdr:rowOff>95250</xdr:rowOff>
        </xdr:to>
        <xdr:sp macro="" textlink="">
          <xdr:nvSpPr>
            <xdr:cNvPr id="5447" name="Group Box 327" hidden="1">
              <a:extLst>
                <a:ext uri="{63B3BB69-23CF-44E3-9099-C40C66FF867C}">
                  <a14:compatExt spid="_x0000_s5447"/>
                </a:ext>
                <a:ext uri="{FF2B5EF4-FFF2-40B4-BE49-F238E27FC236}">
                  <a16:creationId xmlns:a16="http://schemas.microsoft.com/office/drawing/2014/main" id="{00000000-0008-0000-0300-000047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 880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135</xdr:row>
          <xdr:rowOff>180975</xdr:rowOff>
        </xdr:from>
        <xdr:to>
          <xdr:col>7</xdr:col>
          <xdr:colOff>619125</xdr:colOff>
          <xdr:row>137</xdr:row>
          <xdr:rowOff>28575</xdr:rowOff>
        </xdr:to>
        <xdr:sp macro="" textlink="">
          <xdr:nvSpPr>
            <xdr:cNvPr id="5448" name="Option Button 328" hidden="1">
              <a:extLst>
                <a:ext uri="{63B3BB69-23CF-44E3-9099-C40C66FF867C}">
                  <a14:compatExt spid="_x0000_s5448"/>
                </a:ext>
                <a:ext uri="{FF2B5EF4-FFF2-40B4-BE49-F238E27FC236}">
                  <a16:creationId xmlns:a16="http://schemas.microsoft.com/office/drawing/2014/main" id="{00000000-0008-0000-0300-000048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136</xdr:row>
          <xdr:rowOff>190500</xdr:rowOff>
        </xdr:from>
        <xdr:to>
          <xdr:col>7</xdr:col>
          <xdr:colOff>619125</xdr:colOff>
          <xdr:row>138</xdr:row>
          <xdr:rowOff>38100</xdr:rowOff>
        </xdr:to>
        <xdr:sp macro="" textlink="">
          <xdr:nvSpPr>
            <xdr:cNvPr id="5449" name="Option Button 329" hidden="1">
              <a:extLst>
                <a:ext uri="{63B3BB69-23CF-44E3-9099-C40C66FF867C}">
                  <a14:compatExt spid="_x0000_s5449"/>
                </a:ext>
                <a:ext uri="{FF2B5EF4-FFF2-40B4-BE49-F238E27FC236}">
                  <a16:creationId xmlns:a16="http://schemas.microsoft.com/office/drawing/2014/main" id="{00000000-0008-0000-0300-000049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138</xdr:row>
          <xdr:rowOff>0</xdr:rowOff>
        </xdr:from>
        <xdr:to>
          <xdr:col>7</xdr:col>
          <xdr:colOff>628650</xdr:colOff>
          <xdr:row>139</xdr:row>
          <xdr:rowOff>28575</xdr:rowOff>
        </xdr:to>
        <xdr:sp macro="" textlink="">
          <xdr:nvSpPr>
            <xdr:cNvPr id="5450" name="Option Button 330" hidden="1">
              <a:extLst>
                <a:ext uri="{63B3BB69-23CF-44E3-9099-C40C66FF867C}">
                  <a14:compatExt spid="_x0000_s5450"/>
                </a:ext>
                <a:ext uri="{FF2B5EF4-FFF2-40B4-BE49-F238E27FC236}">
                  <a16:creationId xmlns:a16="http://schemas.microsoft.com/office/drawing/2014/main" id="{00000000-0008-0000-0300-00004A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139</xdr:row>
          <xdr:rowOff>0</xdr:rowOff>
        </xdr:from>
        <xdr:to>
          <xdr:col>7</xdr:col>
          <xdr:colOff>628650</xdr:colOff>
          <xdr:row>140</xdr:row>
          <xdr:rowOff>28575</xdr:rowOff>
        </xdr:to>
        <xdr:sp macro="" textlink="">
          <xdr:nvSpPr>
            <xdr:cNvPr id="5451" name="Option Button 331" hidden="1">
              <a:extLst>
                <a:ext uri="{63B3BB69-23CF-44E3-9099-C40C66FF867C}">
                  <a14:compatExt spid="_x0000_s5451"/>
                </a:ext>
                <a:ext uri="{FF2B5EF4-FFF2-40B4-BE49-F238E27FC236}">
                  <a16:creationId xmlns:a16="http://schemas.microsoft.com/office/drawing/2014/main" id="{00000000-0008-0000-0300-00004B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140</xdr:row>
          <xdr:rowOff>28575</xdr:rowOff>
        </xdr:from>
        <xdr:to>
          <xdr:col>7</xdr:col>
          <xdr:colOff>628650</xdr:colOff>
          <xdr:row>141</xdr:row>
          <xdr:rowOff>66675</xdr:rowOff>
        </xdr:to>
        <xdr:sp macro="" textlink="">
          <xdr:nvSpPr>
            <xdr:cNvPr id="5452" name="Option Button 332" hidden="1">
              <a:extLst>
                <a:ext uri="{63B3BB69-23CF-44E3-9099-C40C66FF867C}">
                  <a14:compatExt spid="_x0000_s5452"/>
                </a:ext>
                <a:ext uri="{FF2B5EF4-FFF2-40B4-BE49-F238E27FC236}">
                  <a16:creationId xmlns:a16="http://schemas.microsoft.com/office/drawing/2014/main" id="{00000000-0008-0000-0300-00004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44450</xdr:colOff>
      <xdr:row>134</xdr:row>
      <xdr:rowOff>33866</xdr:rowOff>
    </xdr:from>
    <xdr:to>
      <xdr:col>10</xdr:col>
      <xdr:colOff>26106</xdr:colOff>
      <xdr:row>146</xdr:row>
      <xdr:rowOff>173566</xdr:rowOff>
    </xdr:to>
    <xdr:sp macro="" textlink="">
      <xdr:nvSpPr>
        <xdr:cNvPr id="5510" name="Rectangle: Rounded Corners 5509">
          <a:extLst>
            <a:ext uri="{FF2B5EF4-FFF2-40B4-BE49-F238E27FC236}">
              <a16:creationId xmlns:a16="http://schemas.microsoft.com/office/drawing/2014/main" id="{00000000-0008-0000-0300-000086150000}"/>
            </a:ext>
          </a:extLst>
        </xdr:cNvPr>
        <xdr:cNvSpPr/>
      </xdr:nvSpPr>
      <xdr:spPr>
        <a:xfrm>
          <a:off x="44450" y="25986316"/>
          <a:ext cx="6452306" cy="2451100"/>
        </a:xfrm>
        <a:prstGeom prst="roundRect">
          <a:avLst>
            <a:gd name="adj" fmla="val 837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4</xdr:col>
      <xdr:colOff>101600</xdr:colOff>
      <xdr:row>44</xdr:row>
      <xdr:rowOff>50800</xdr:rowOff>
    </xdr:from>
    <xdr:to>
      <xdr:col>5</xdr:col>
      <xdr:colOff>425450</xdr:colOff>
      <xdr:row>46</xdr:row>
      <xdr:rowOff>50800</xdr:rowOff>
    </xdr:to>
    <xdr:sp macro="" textlink="">
      <xdr:nvSpPr>
        <xdr:cNvPr id="5511" name="TextBox 5510">
          <a:extLst>
            <a:ext uri="{FF2B5EF4-FFF2-40B4-BE49-F238E27FC236}">
              <a16:creationId xmlns:a16="http://schemas.microsoft.com/office/drawing/2014/main" id="{00000000-0008-0000-0300-000087150000}"/>
            </a:ext>
          </a:extLst>
        </xdr:cNvPr>
        <xdr:cNvSpPr txBox="1"/>
      </xdr:nvSpPr>
      <xdr:spPr>
        <a:xfrm>
          <a:off x="2628900" y="8477250"/>
          <a:ext cx="9715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sv-SE" sz="800" b="1">
              <a:solidFill>
                <a:sysClr val="windowText" lastClr="000000"/>
              </a:solidFill>
            </a:rPr>
            <a:t>*</a:t>
          </a:r>
          <a:r>
            <a:rPr lang="sv-SE" sz="700" b="1">
              <a:solidFill>
                <a:srgbClr val="C00000"/>
              </a:solidFill>
            </a:rPr>
            <a:t> BB</a:t>
          </a:r>
          <a:r>
            <a:rPr lang="sv-SE" sz="700"/>
            <a:t>=33-50. </a:t>
          </a:r>
          <a:r>
            <a:rPr lang="sv-SE" sz="700" b="1">
              <a:solidFill>
                <a:srgbClr val="0070C0"/>
              </a:solidFill>
            </a:rPr>
            <a:t>HH</a:t>
          </a:r>
          <a:r>
            <a:rPr lang="sv-SE" sz="700"/>
            <a:t>=30-40;</a:t>
          </a:r>
        </a:p>
        <a:p>
          <a:pPr algn="l"/>
          <a:r>
            <a:rPr lang="sv-SE" sz="700"/>
            <a:t> ** </a:t>
          </a:r>
          <a:r>
            <a:rPr lang="sv-SE" sz="700" b="1">
              <a:solidFill>
                <a:srgbClr val="C00000"/>
              </a:solidFill>
              <a:effectLst/>
              <a:latin typeface="+mn-lt"/>
              <a:ea typeface="+mn-ea"/>
              <a:cs typeface="+mn-cs"/>
            </a:rPr>
            <a:t>BB</a:t>
          </a:r>
          <a:r>
            <a:rPr lang="sv-SE" sz="700">
              <a:solidFill>
                <a:schemeClr val="dk1"/>
              </a:solidFill>
              <a:effectLst/>
              <a:latin typeface="+mn-lt"/>
              <a:ea typeface="+mn-ea"/>
              <a:cs typeface="+mn-cs"/>
            </a:rPr>
            <a:t>=33-50. </a:t>
          </a:r>
          <a:r>
            <a:rPr lang="sv-SE" sz="700" b="1">
              <a:solidFill>
                <a:srgbClr val="0070C0"/>
              </a:solidFill>
              <a:effectLst/>
              <a:latin typeface="+mn-lt"/>
              <a:ea typeface="+mn-ea"/>
              <a:cs typeface="+mn-cs"/>
            </a:rPr>
            <a:t>HH</a:t>
          </a:r>
          <a:r>
            <a:rPr lang="sv-SE" sz="700">
              <a:solidFill>
                <a:schemeClr val="dk1"/>
              </a:solidFill>
              <a:effectLst/>
              <a:latin typeface="+mn-lt"/>
              <a:ea typeface="+mn-ea"/>
              <a:cs typeface="+mn-cs"/>
            </a:rPr>
            <a:t>=25-40</a:t>
          </a:r>
        </a:p>
        <a:p>
          <a:pPr algn="l"/>
          <a:r>
            <a:rPr lang="sv-SE" sz="700">
              <a:solidFill>
                <a:schemeClr val="dk1"/>
              </a:solidFill>
              <a:effectLst/>
              <a:latin typeface="+mn-lt"/>
              <a:ea typeface="+mn-ea"/>
              <a:cs typeface="+mn-cs"/>
            </a:rPr>
            <a:t>*** </a:t>
          </a:r>
          <a:r>
            <a:rPr lang="sv-SE" sz="700" b="1">
              <a:solidFill>
                <a:srgbClr val="C00000"/>
              </a:solidFill>
              <a:effectLst/>
              <a:latin typeface="+mn-lt"/>
              <a:ea typeface="+mn-ea"/>
              <a:cs typeface="+mn-cs"/>
            </a:rPr>
            <a:t>BB</a:t>
          </a:r>
          <a:r>
            <a:rPr lang="sv-SE" sz="700">
              <a:solidFill>
                <a:schemeClr val="dk1"/>
              </a:solidFill>
              <a:effectLst/>
              <a:latin typeface="+mn-lt"/>
              <a:ea typeface="+mn-ea"/>
              <a:cs typeface="+mn-cs"/>
            </a:rPr>
            <a:t>=30-50.</a:t>
          </a:r>
          <a:endParaRPr lang="sv-SE" sz="700"/>
        </a:p>
      </xdr:txBody>
    </xdr:sp>
    <xdr:clientData/>
  </xdr:twoCellAnchor>
  <xdr:twoCellAnchor>
    <xdr:from>
      <xdr:col>3</xdr:col>
      <xdr:colOff>508000</xdr:colOff>
      <xdr:row>40</xdr:row>
      <xdr:rowOff>82550</xdr:rowOff>
    </xdr:from>
    <xdr:to>
      <xdr:col>7</xdr:col>
      <xdr:colOff>107950</xdr:colOff>
      <xdr:row>47</xdr:row>
      <xdr:rowOff>12700</xdr:rowOff>
    </xdr:to>
    <xdr:sp macro="" textlink="">
      <xdr:nvSpPr>
        <xdr:cNvPr id="5512" name="Rectangle: Rounded Corners 5511">
          <a:extLst>
            <a:ext uri="{FF2B5EF4-FFF2-40B4-BE49-F238E27FC236}">
              <a16:creationId xmlns:a16="http://schemas.microsoft.com/office/drawing/2014/main" id="{00000000-0008-0000-0300-000088150000}"/>
            </a:ext>
          </a:extLst>
        </xdr:cNvPr>
        <xdr:cNvSpPr/>
      </xdr:nvSpPr>
      <xdr:spPr>
        <a:xfrm>
          <a:off x="2406650" y="7747000"/>
          <a:ext cx="2190750" cy="1263650"/>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304800</xdr:colOff>
      <xdr:row>44</xdr:row>
      <xdr:rowOff>69850</xdr:rowOff>
    </xdr:from>
    <xdr:to>
      <xdr:col>9</xdr:col>
      <xdr:colOff>292100</xdr:colOff>
      <xdr:row>46</xdr:row>
      <xdr:rowOff>134055</xdr:rowOff>
    </xdr:to>
    <xdr:sp macro="" textlink="">
      <xdr:nvSpPr>
        <xdr:cNvPr id="5513" name="TextBox 5512">
          <a:extLst>
            <a:ext uri="{FF2B5EF4-FFF2-40B4-BE49-F238E27FC236}">
              <a16:creationId xmlns:a16="http://schemas.microsoft.com/office/drawing/2014/main" id="{00000000-0008-0000-0300-000089150000}"/>
            </a:ext>
          </a:extLst>
        </xdr:cNvPr>
        <xdr:cNvSpPr txBox="1"/>
      </xdr:nvSpPr>
      <xdr:spPr>
        <a:xfrm>
          <a:off x="4799189" y="8473017"/>
          <a:ext cx="1285522" cy="4452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sv-SE" sz="800" b="1">
              <a:solidFill>
                <a:sysClr val="windowText" lastClr="000000"/>
              </a:solidFill>
            </a:rPr>
            <a:t>*</a:t>
          </a:r>
          <a:r>
            <a:rPr lang="sv-SE" sz="700" b="1">
              <a:solidFill>
                <a:srgbClr val="C00000"/>
              </a:solidFill>
            </a:rPr>
            <a:t> BB</a:t>
          </a:r>
          <a:r>
            <a:rPr lang="sv-SE" sz="700"/>
            <a:t>=36-45. </a:t>
          </a:r>
          <a:r>
            <a:rPr lang="sv-SE" sz="700" b="1">
              <a:solidFill>
                <a:srgbClr val="0070C0"/>
              </a:solidFill>
            </a:rPr>
            <a:t>HH</a:t>
          </a:r>
          <a:r>
            <a:rPr lang="sv-SE" sz="700"/>
            <a:t>=30-40; </a:t>
          </a:r>
        </a:p>
        <a:p>
          <a:pPr algn="l"/>
          <a:r>
            <a:rPr lang="sv-SE" sz="700"/>
            <a:t>** </a:t>
          </a:r>
          <a:r>
            <a:rPr lang="sv-SE" sz="700" b="1">
              <a:solidFill>
                <a:srgbClr val="C00000"/>
              </a:solidFill>
              <a:effectLst/>
              <a:latin typeface="+mn-lt"/>
              <a:ea typeface="+mn-ea"/>
              <a:cs typeface="+mn-cs"/>
            </a:rPr>
            <a:t>BB</a:t>
          </a:r>
          <a:r>
            <a:rPr lang="sv-SE" sz="700">
              <a:solidFill>
                <a:schemeClr val="dk1"/>
              </a:solidFill>
              <a:effectLst/>
              <a:latin typeface="+mn-lt"/>
              <a:ea typeface="+mn-ea"/>
              <a:cs typeface="+mn-cs"/>
            </a:rPr>
            <a:t>=33-42. </a:t>
          </a:r>
          <a:r>
            <a:rPr lang="sv-SE" sz="700" b="1">
              <a:solidFill>
                <a:srgbClr val="0070C0"/>
              </a:solidFill>
              <a:effectLst/>
              <a:latin typeface="+mn-lt"/>
              <a:ea typeface="+mn-ea"/>
              <a:cs typeface="+mn-cs"/>
            </a:rPr>
            <a:t>HH</a:t>
          </a:r>
          <a:r>
            <a:rPr lang="sv-SE" sz="700">
              <a:solidFill>
                <a:schemeClr val="dk1"/>
              </a:solidFill>
              <a:effectLst/>
              <a:latin typeface="+mn-lt"/>
              <a:ea typeface="+mn-ea"/>
              <a:cs typeface="+mn-cs"/>
            </a:rPr>
            <a:t>=25-40</a:t>
          </a:r>
        </a:p>
        <a:p>
          <a:pPr algn="l"/>
          <a:r>
            <a:rPr lang="sv-SE" sz="700">
              <a:solidFill>
                <a:schemeClr val="dk1"/>
              </a:solidFill>
              <a:effectLst/>
              <a:latin typeface="+mn-lt"/>
              <a:ea typeface="+mn-ea"/>
              <a:cs typeface="+mn-cs"/>
            </a:rPr>
            <a:t>*** </a:t>
          </a:r>
          <a:r>
            <a:rPr lang="sv-SE" sz="700" b="1">
              <a:solidFill>
                <a:srgbClr val="C00000"/>
              </a:solidFill>
              <a:effectLst/>
              <a:latin typeface="+mn-lt"/>
              <a:ea typeface="+mn-ea"/>
              <a:cs typeface="+mn-cs"/>
            </a:rPr>
            <a:t>BB</a:t>
          </a:r>
          <a:r>
            <a:rPr lang="sv-SE" sz="700">
              <a:solidFill>
                <a:schemeClr val="dk1"/>
              </a:solidFill>
              <a:effectLst/>
              <a:latin typeface="+mn-lt"/>
              <a:ea typeface="+mn-ea"/>
              <a:cs typeface="+mn-cs"/>
            </a:rPr>
            <a:t>=33-45. </a:t>
          </a:r>
          <a:r>
            <a:rPr lang="sv-SE" sz="700" b="1">
              <a:solidFill>
                <a:srgbClr val="0070C0"/>
              </a:solidFill>
              <a:effectLst/>
              <a:latin typeface="+mn-lt"/>
              <a:ea typeface="+mn-ea"/>
              <a:cs typeface="+mn-cs"/>
            </a:rPr>
            <a:t>HH</a:t>
          </a:r>
          <a:r>
            <a:rPr lang="sv-SE" sz="700">
              <a:solidFill>
                <a:schemeClr val="dk1"/>
              </a:solidFill>
              <a:effectLst/>
              <a:latin typeface="+mn-lt"/>
              <a:ea typeface="+mn-ea"/>
              <a:cs typeface="+mn-cs"/>
            </a:rPr>
            <a:t>=35-40</a:t>
          </a:r>
          <a:endParaRPr lang="sv-SE" sz="700"/>
        </a:p>
      </xdr:txBody>
    </xdr:sp>
    <xdr:clientData/>
  </xdr:twoCellAnchor>
  <mc:AlternateContent xmlns:mc="http://schemas.openxmlformats.org/markup-compatibility/2006">
    <mc:Choice xmlns:a14="http://schemas.microsoft.com/office/drawing/2010/main" Requires="a14">
      <xdr:twoCellAnchor editAs="oneCell">
        <xdr:from>
          <xdr:col>3</xdr:col>
          <xdr:colOff>628650</xdr:colOff>
          <xdr:row>85</xdr:row>
          <xdr:rowOff>171450</xdr:rowOff>
        </xdr:from>
        <xdr:to>
          <xdr:col>4</xdr:col>
          <xdr:colOff>180975</xdr:colOff>
          <xdr:row>87</xdr:row>
          <xdr:rowOff>9525</xdr:rowOff>
        </xdr:to>
        <xdr:sp macro="" textlink="">
          <xdr:nvSpPr>
            <xdr:cNvPr id="5453" name="Option Button 333" hidden="1">
              <a:extLst>
                <a:ext uri="{63B3BB69-23CF-44E3-9099-C40C66FF867C}">
                  <a14:compatExt spid="_x0000_s5453"/>
                </a:ext>
                <a:ext uri="{FF2B5EF4-FFF2-40B4-BE49-F238E27FC236}">
                  <a16:creationId xmlns:a16="http://schemas.microsoft.com/office/drawing/2014/main" id="{00000000-0008-0000-0300-00004D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87</xdr:row>
          <xdr:rowOff>0</xdr:rowOff>
        </xdr:from>
        <xdr:to>
          <xdr:col>4</xdr:col>
          <xdr:colOff>190500</xdr:colOff>
          <xdr:row>88</xdr:row>
          <xdr:rowOff>19050</xdr:rowOff>
        </xdr:to>
        <xdr:sp macro="" textlink="">
          <xdr:nvSpPr>
            <xdr:cNvPr id="5454" name="Option Button 334" hidden="1">
              <a:extLst>
                <a:ext uri="{63B3BB69-23CF-44E3-9099-C40C66FF867C}">
                  <a14:compatExt spid="_x0000_s5454"/>
                </a:ext>
                <a:ext uri="{FF2B5EF4-FFF2-40B4-BE49-F238E27FC236}">
                  <a16:creationId xmlns:a16="http://schemas.microsoft.com/office/drawing/2014/main" id="{00000000-0008-0000-0300-00004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628650</xdr:colOff>
          <xdr:row>87</xdr:row>
          <xdr:rowOff>0</xdr:rowOff>
        </xdr:from>
        <xdr:to>
          <xdr:col>4</xdr:col>
          <xdr:colOff>180975</xdr:colOff>
          <xdr:row>88</xdr:row>
          <xdr:rowOff>19050</xdr:rowOff>
        </xdr:to>
        <xdr:sp macro="" textlink="">
          <xdr:nvSpPr>
            <xdr:cNvPr id="5455" name="Option Button 335" hidden="1">
              <a:extLst>
                <a:ext uri="{63B3BB69-23CF-44E3-9099-C40C66FF867C}">
                  <a14:compatExt spid="_x0000_s5455"/>
                </a:ext>
                <a:ext uri="{FF2B5EF4-FFF2-40B4-BE49-F238E27FC236}">
                  <a16:creationId xmlns:a16="http://schemas.microsoft.com/office/drawing/2014/main" id="{00000000-0008-0000-0300-00004F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134</xdr:row>
          <xdr:rowOff>190500</xdr:rowOff>
        </xdr:from>
        <xdr:to>
          <xdr:col>1</xdr:col>
          <xdr:colOff>19050</xdr:colOff>
          <xdr:row>136</xdr:row>
          <xdr:rowOff>19050</xdr:rowOff>
        </xdr:to>
        <xdr:sp macro="" textlink="">
          <xdr:nvSpPr>
            <xdr:cNvPr id="5456" name="Check Box 336" hidden="1">
              <a:extLst>
                <a:ext uri="{63B3BB69-23CF-44E3-9099-C40C66FF867C}">
                  <a14:compatExt spid="_x0000_s5456"/>
                </a:ext>
                <a:ext uri="{FF2B5EF4-FFF2-40B4-BE49-F238E27FC236}">
                  <a16:creationId xmlns:a16="http://schemas.microsoft.com/office/drawing/2014/main" id="{00000000-0008-0000-0300-000050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51</xdr:row>
          <xdr:rowOff>171450</xdr:rowOff>
        </xdr:from>
        <xdr:to>
          <xdr:col>1</xdr:col>
          <xdr:colOff>28575</xdr:colOff>
          <xdr:row>53</xdr:row>
          <xdr:rowOff>9525</xdr:rowOff>
        </xdr:to>
        <xdr:sp macro="" textlink="">
          <xdr:nvSpPr>
            <xdr:cNvPr id="5462" name="Option Button 342" hidden="1">
              <a:extLst>
                <a:ext uri="{63B3BB69-23CF-44E3-9099-C40C66FF867C}">
                  <a14:compatExt spid="_x0000_s5462"/>
                </a:ext>
                <a:ext uri="{FF2B5EF4-FFF2-40B4-BE49-F238E27FC236}">
                  <a16:creationId xmlns:a16="http://schemas.microsoft.com/office/drawing/2014/main" id="{00000000-0008-0000-0300-00005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590550</xdr:colOff>
          <xdr:row>62</xdr:row>
          <xdr:rowOff>180975</xdr:rowOff>
        </xdr:from>
        <xdr:to>
          <xdr:col>4</xdr:col>
          <xdr:colOff>180975</xdr:colOff>
          <xdr:row>64</xdr:row>
          <xdr:rowOff>28575</xdr:rowOff>
        </xdr:to>
        <xdr:sp macro="" textlink="">
          <xdr:nvSpPr>
            <xdr:cNvPr id="5470" name="Option Button 350" hidden="1">
              <a:extLst>
                <a:ext uri="{63B3BB69-23CF-44E3-9099-C40C66FF867C}">
                  <a14:compatExt spid="_x0000_s5470"/>
                </a:ext>
                <a:ext uri="{FF2B5EF4-FFF2-40B4-BE49-F238E27FC236}">
                  <a16:creationId xmlns:a16="http://schemas.microsoft.com/office/drawing/2014/main" id="{00000000-0008-0000-0300-00005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619125</xdr:colOff>
          <xdr:row>64</xdr:row>
          <xdr:rowOff>190500</xdr:rowOff>
        </xdr:from>
        <xdr:to>
          <xdr:col>1</xdr:col>
          <xdr:colOff>66675</xdr:colOff>
          <xdr:row>66</xdr:row>
          <xdr:rowOff>9525</xdr:rowOff>
        </xdr:to>
        <xdr:sp macro="" textlink="">
          <xdr:nvSpPr>
            <xdr:cNvPr id="5471" name="Option Button 351" hidden="1">
              <a:extLst>
                <a:ext uri="{63B3BB69-23CF-44E3-9099-C40C66FF867C}">
                  <a14:compatExt spid="_x0000_s5471"/>
                </a:ext>
                <a:ext uri="{FF2B5EF4-FFF2-40B4-BE49-F238E27FC236}">
                  <a16:creationId xmlns:a16="http://schemas.microsoft.com/office/drawing/2014/main" id="{00000000-0008-0000-0300-00005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619125</xdr:colOff>
          <xdr:row>68</xdr:row>
          <xdr:rowOff>19050</xdr:rowOff>
        </xdr:from>
        <xdr:to>
          <xdr:col>1</xdr:col>
          <xdr:colOff>47625</xdr:colOff>
          <xdr:row>69</xdr:row>
          <xdr:rowOff>57150</xdr:rowOff>
        </xdr:to>
        <xdr:sp macro="" textlink="">
          <xdr:nvSpPr>
            <xdr:cNvPr id="5472" name="Option Button 352" hidden="1">
              <a:extLst>
                <a:ext uri="{63B3BB69-23CF-44E3-9099-C40C66FF867C}">
                  <a14:compatExt spid="_x0000_s5472"/>
                </a:ext>
                <a:ext uri="{FF2B5EF4-FFF2-40B4-BE49-F238E27FC236}">
                  <a16:creationId xmlns:a16="http://schemas.microsoft.com/office/drawing/2014/main" id="{00000000-0008-0000-0300-00006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71</xdr:row>
          <xdr:rowOff>190500</xdr:rowOff>
        </xdr:from>
        <xdr:to>
          <xdr:col>1</xdr:col>
          <xdr:colOff>28575</xdr:colOff>
          <xdr:row>73</xdr:row>
          <xdr:rowOff>38100</xdr:rowOff>
        </xdr:to>
        <xdr:sp macro="" textlink="">
          <xdr:nvSpPr>
            <xdr:cNvPr id="5474" name="Option Button 354" hidden="1">
              <a:extLst>
                <a:ext uri="{63B3BB69-23CF-44E3-9099-C40C66FF867C}">
                  <a14:compatExt spid="_x0000_s5474"/>
                </a:ext>
                <a:ext uri="{FF2B5EF4-FFF2-40B4-BE49-F238E27FC236}">
                  <a16:creationId xmlns:a16="http://schemas.microsoft.com/office/drawing/2014/main" id="{00000000-0008-0000-0300-00006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95</xdr:row>
          <xdr:rowOff>171450</xdr:rowOff>
        </xdr:from>
        <xdr:to>
          <xdr:col>1</xdr:col>
          <xdr:colOff>28575</xdr:colOff>
          <xdr:row>97</xdr:row>
          <xdr:rowOff>19050</xdr:rowOff>
        </xdr:to>
        <xdr:sp macro="" textlink="">
          <xdr:nvSpPr>
            <xdr:cNvPr id="5476" name="Option Button 356" hidden="1">
              <a:extLst>
                <a:ext uri="{63B3BB69-23CF-44E3-9099-C40C66FF867C}">
                  <a14:compatExt spid="_x0000_s5476"/>
                </a:ext>
                <a:ext uri="{FF2B5EF4-FFF2-40B4-BE49-F238E27FC236}">
                  <a16:creationId xmlns:a16="http://schemas.microsoft.com/office/drawing/2014/main" id="{00000000-0008-0000-0300-000064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137</xdr:row>
          <xdr:rowOff>142875</xdr:rowOff>
        </xdr:from>
        <xdr:to>
          <xdr:col>5</xdr:col>
          <xdr:colOff>161925</xdr:colOff>
          <xdr:row>138</xdr:row>
          <xdr:rowOff>171450</xdr:rowOff>
        </xdr:to>
        <xdr:sp macro="" textlink="">
          <xdr:nvSpPr>
            <xdr:cNvPr id="5477" name="Check Box 357" hidden="1">
              <a:extLst>
                <a:ext uri="{63B3BB69-23CF-44E3-9099-C40C66FF867C}">
                  <a14:compatExt spid="_x0000_s5477"/>
                </a:ext>
                <a:ext uri="{FF2B5EF4-FFF2-40B4-BE49-F238E27FC236}">
                  <a16:creationId xmlns:a16="http://schemas.microsoft.com/office/drawing/2014/main" id="{00000000-0008-0000-0300-000065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539750</xdr:colOff>
      <xdr:row>22</xdr:row>
      <xdr:rowOff>171450</xdr:rowOff>
    </xdr:from>
    <xdr:to>
      <xdr:col>7</xdr:col>
      <xdr:colOff>69850</xdr:colOff>
      <xdr:row>27</xdr:row>
      <xdr:rowOff>50800</xdr:rowOff>
    </xdr:to>
    <xdr:sp macro="" textlink="">
      <xdr:nvSpPr>
        <xdr:cNvPr id="5355" name="Rectangle: Rounded Corners 5354">
          <a:extLst>
            <a:ext uri="{FF2B5EF4-FFF2-40B4-BE49-F238E27FC236}">
              <a16:creationId xmlns:a16="http://schemas.microsoft.com/office/drawing/2014/main" id="{00000000-0008-0000-0300-0000EB140000}"/>
            </a:ext>
          </a:extLst>
        </xdr:cNvPr>
        <xdr:cNvSpPr/>
      </xdr:nvSpPr>
      <xdr:spPr>
        <a:xfrm>
          <a:off x="2435225" y="4962525"/>
          <a:ext cx="2120900" cy="831850"/>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0</xdr:col>
          <xdr:colOff>609600</xdr:colOff>
          <xdr:row>31</xdr:row>
          <xdr:rowOff>180975</xdr:rowOff>
        </xdr:from>
        <xdr:to>
          <xdr:col>1</xdr:col>
          <xdr:colOff>47625</xdr:colOff>
          <xdr:row>33</xdr:row>
          <xdr:rowOff>19050</xdr:rowOff>
        </xdr:to>
        <xdr:sp macro="" textlink="">
          <xdr:nvSpPr>
            <xdr:cNvPr id="5651" name="Option Button 531" hidden="1">
              <a:extLst>
                <a:ext uri="{63B3BB69-23CF-44E3-9099-C40C66FF867C}">
                  <a14:compatExt spid="_x0000_s5651"/>
                </a:ext>
                <a:ext uri="{FF2B5EF4-FFF2-40B4-BE49-F238E27FC236}">
                  <a16:creationId xmlns:a16="http://schemas.microsoft.com/office/drawing/2014/main" id="{00000000-0008-0000-0300-00001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35</xdr:row>
          <xdr:rowOff>28575</xdr:rowOff>
        </xdr:from>
        <xdr:to>
          <xdr:col>10</xdr:col>
          <xdr:colOff>66675</xdr:colOff>
          <xdr:row>38</xdr:row>
          <xdr:rowOff>152400</xdr:rowOff>
        </xdr:to>
        <xdr:sp macro="" textlink="">
          <xdr:nvSpPr>
            <xdr:cNvPr id="5652" name="Group Box 532" hidden="1">
              <a:extLst>
                <a:ext uri="{63B3BB69-23CF-44E3-9099-C40C66FF867C}">
                  <a14:compatExt spid="_x0000_s5652"/>
                </a:ext>
                <a:ext uri="{FF2B5EF4-FFF2-40B4-BE49-F238E27FC236}">
                  <a16:creationId xmlns:a16="http://schemas.microsoft.com/office/drawing/2014/main" id="{00000000-0008-0000-0300-0000141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532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37</xdr:row>
          <xdr:rowOff>9525</xdr:rowOff>
        </xdr:from>
        <xdr:to>
          <xdr:col>1</xdr:col>
          <xdr:colOff>19050</xdr:colOff>
          <xdr:row>38</xdr:row>
          <xdr:rowOff>38100</xdr:rowOff>
        </xdr:to>
        <xdr:sp macro="" textlink="">
          <xdr:nvSpPr>
            <xdr:cNvPr id="5653" name="Option Button 533" hidden="1">
              <a:extLst>
                <a:ext uri="{63B3BB69-23CF-44E3-9099-C40C66FF867C}">
                  <a14:compatExt spid="_x0000_s5653"/>
                </a:ext>
                <a:ext uri="{FF2B5EF4-FFF2-40B4-BE49-F238E27FC236}">
                  <a16:creationId xmlns:a16="http://schemas.microsoft.com/office/drawing/2014/main" id="{00000000-0008-0000-0300-00001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35</xdr:row>
          <xdr:rowOff>180975</xdr:rowOff>
        </xdr:from>
        <xdr:to>
          <xdr:col>4</xdr:col>
          <xdr:colOff>180975</xdr:colOff>
          <xdr:row>37</xdr:row>
          <xdr:rowOff>19050</xdr:rowOff>
        </xdr:to>
        <xdr:sp macro="" textlink="">
          <xdr:nvSpPr>
            <xdr:cNvPr id="5654" name="Option Button 534" hidden="1">
              <a:extLst>
                <a:ext uri="{63B3BB69-23CF-44E3-9099-C40C66FF867C}">
                  <a14:compatExt spid="_x0000_s5654"/>
                </a:ext>
                <a:ext uri="{FF2B5EF4-FFF2-40B4-BE49-F238E27FC236}">
                  <a16:creationId xmlns:a16="http://schemas.microsoft.com/office/drawing/2014/main" id="{00000000-0008-0000-0300-00001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35</xdr:row>
          <xdr:rowOff>180975</xdr:rowOff>
        </xdr:from>
        <xdr:to>
          <xdr:col>5</xdr:col>
          <xdr:colOff>152400</xdr:colOff>
          <xdr:row>37</xdr:row>
          <xdr:rowOff>19050</xdr:rowOff>
        </xdr:to>
        <xdr:sp macro="" textlink="">
          <xdr:nvSpPr>
            <xdr:cNvPr id="5655" name="Option Button 535" hidden="1">
              <a:extLst>
                <a:ext uri="{63B3BB69-23CF-44E3-9099-C40C66FF867C}">
                  <a14:compatExt spid="_x0000_s5655"/>
                </a:ext>
                <a:ext uri="{FF2B5EF4-FFF2-40B4-BE49-F238E27FC236}">
                  <a16:creationId xmlns:a16="http://schemas.microsoft.com/office/drawing/2014/main" id="{00000000-0008-0000-0300-00001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35</xdr:row>
          <xdr:rowOff>180975</xdr:rowOff>
        </xdr:from>
        <xdr:to>
          <xdr:col>6</xdr:col>
          <xdr:colOff>161925</xdr:colOff>
          <xdr:row>37</xdr:row>
          <xdr:rowOff>19050</xdr:rowOff>
        </xdr:to>
        <xdr:sp macro="" textlink="">
          <xdr:nvSpPr>
            <xdr:cNvPr id="5656" name="Option Button 536" hidden="1">
              <a:extLst>
                <a:ext uri="{63B3BB69-23CF-44E3-9099-C40C66FF867C}">
                  <a14:compatExt spid="_x0000_s5656"/>
                </a:ext>
                <a:ext uri="{FF2B5EF4-FFF2-40B4-BE49-F238E27FC236}">
                  <a16:creationId xmlns:a16="http://schemas.microsoft.com/office/drawing/2014/main" id="{00000000-0008-0000-0300-00001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628650</xdr:colOff>
          <xdr:row>35</xdr:row>
          <xdr:rowOff>180975</xdr:rowOff>
        </xdr:from>
        <xdr:to>
          <xdr:col>7</xdr:col>
          <xdr:colOff>219075</xdr:colOff>
          <xdr:row>37</xdr:row>
          <xdr:rowOff>19050</xdr:rowOff>
        </xdr:to>
        <xdr:sp macro="" textlink="">
          <xdr:nvSpPr>
            <xdr:cNvPr id="5657" name="Option Button 537" hidden="1">
              <a:extLst>
                <a:ext uri="{63B3BB69-23CF-44E3-9099-C40C66FF867C}">
                  <a14:compatExt spid="_x0000_s5657"/>
                </a:ext>
                <a:ext uri="{FF2B5EF4-FFF2-40B4-BE49-F238E27FC236}">
                  <a16:creationId xmlns:a16="http://schemas.microsoft.com/office/drawing/2014/main" id="{00000000-0008-0000-0300-00001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38100</xdr:colOff>
      <xdr:row>35</xdr:row>
      <xdr:rowOff>25400</xdr:rowOff>
    </xdr:from>
    <xdr:to>
      <xdr:col>9</xdr:col>
      <xdr:colOff>627945</xdr:colOff>
      <xdr:row>38</xdr:row>
      <xdr:rowOff>171449</xdr:rowOff>
    </xdr:to>
    <xdr:sp macro="" textlink="">
      <xdr:nvSpPr>
        <xdr:cNvPr id="5160" name="Rectangle: Rounded Corners 5159">
          <a:extLst>
            <a:ext uri="{FF2B5EF4-FFF2-40B4-BE49-F238E27FC236}">
              <a16:creationId xmlns:a16="http://schemas.microsoft.com/office/drawing/2014/main" id="{00000000-0008-0000-0300-000028140000}"/>
            </a:ext>
          </a:extLst>
        </xdr:cNvPr>
        <xdr:cNvSpPr/>
      </xdr:nvSpPr>
      <xdr:spPr>
        <a:xfrm>
          <a:off x="38100" y="6908800"/>
          <a:ext cx="6412795" cy="717549"/>
        </a:xfrm>
        <a:prstGeom prst="roundRect">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0</xdr:col>
          <xdr:colOff>590550</xdr:colOff>
          <xdr:row>111</xdr:row>
          <xdr:rowOff>190500</xdr:rowOff>
        </xdr:from>
        <xdr:to>
          <xdr:col>1</xdr:col>
          <xdr:colOff>28575</xdr:colOff>
          <xdr:row>113</xdr:row>
          <xdr:rowOff>28575</xdr:rowOff>
        </xdr:to>
        <xdr:sp macro="" textlink="">
          <xdr:nvSpPr>
            <xdr:cNvPr id="5659" name="Option Button 539" hidden="1">
              <a:extLst>
                <a:ext uri="{63B3BB69-23CF-44E3-9099-C40C66FF867C}">
                  <a14:compatExt spid="_x0000_s5659"/>
                </a:ext>
                <a:ext uri="{FF2B5EF4-FFF2-40B4-BE49-F238E27FC236}">
                  <a16:creationId xmlns:a16="http://schemas.microsoft.com/office/drawing/2014/main" id="{00000000-0008-0000-0300-00001B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115</xdr:row>
          <xdr:rowOff>171450</xdr:rowOff>
        </xdr:from>
        <xdr:to>
          <xdr:col>1</xdr:col>
          <xdr:colOff>28575</xdr:colOff>
          <xdr:row>117</xdr:row>
          <xdr:rowOff>19050</xdr:rowOff>
        </xdr:to>
        <xdr:sp macro="" textlink="">
          <xdr:nvSpPr>
            <xdr:cNvPr id="5660" name="Option Button 540" hidden="1">
              <a:extLst>
                <a:ext uri="{63B3BB69-23CF-44E3-9099-C40C66FF867C}">
                  <a14:compatExt spid="_x0000_s5660"/>
                </a:ext>
                <a:ext uri="{FF2B5EF4-FFF2-40B4-BE49-F238E27FC236}">
                  <a16:creationId xmlns:a16="http://schemas.microsoft.com/office/drawing/2014/main" id="{00000000-0008-0000-0300-00001C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159</xdr:row>
          <xdr:rowOff>190500</xdr:rowOff>
        </xdr:from>
        <xdr:to>
          <xdr:col>5</xdr:col>
          <xdr:colOff>180975</xdr:colOff>
          <xdr:row>161</xdr:row>
          <xdr:rowOff>19050</xdr:rowOff>
        </xdr:to>
        <xdr:sp macro="" textlink="">
          <xdr:nvSpPr>
            <xdr:cNvPr id="5672" name="Check Box 552" hidden="1">
              <a:extLst>
                <a:ext uri="{63B3BB69-23CF-44E3-9099-C40C66FF867C}">
                  <a14:compatExt spid="_x0000_s5672"/>
                </a:ext>
                <a:ext uri="{FF2B5EF4-FFF2-40B4-BE49-F238E27FC236}">
                  <a16:creationId xmlns:a16="http://schemas.microsoft.com/office/drawing/2014/main" id="{00000000-0008-0000-0300-00002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95250</xdr:colOff>
      <xdr:row>0</xdr:row>
      <xdr:rowOff>31750</xdr:rowOff>
    </xdr:from>
    <xdr:to>
      <xdr:col>2</xdr:col>
      <xdr:colOff>241300</xdr:colOff>
      <xdr:row>1</xdr:row>
      <xdr:rowOff>126566</xdr:rowOff>
    </xdr:to>
    <xdr:pic>
      <xdr:nvPicPr>
        <xdr:cNvPr id="41" name="Picture 40">
          <a:hlinkClick xmlns:r="http://schemas.openxmlformats.org/officeDocument/2006/relationships" r:id="rId31"/>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xdr:blipFill>
      <xdr:spPr>
        <a:xfrm>
          <a:off x="95250" y="31750"/>
          <a:ext cx="1377950" cy="2853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66675</xdr:colOff>
          <xdr:row>19</xdr:row>
          <xdr:rowOff>9525</xdr:rowOff>
        </xdr:from>
        <xdr:to>
          <xdr:col>4</xdr:col>
          <xdr:colOff>276225</xdr:colOff>
          <xdr:row>19</xdr:row>
          <xdr:rowOff>180975</xdr:rowOff>
        </xdr:to>
        <xdr:sp macro="" textlink="">
          <xdr:nvSpPr>
            <xdr:cNvPr id="5679" name="Option Button 559" hidden="1">
              <a:extLst>
                <a:ext uri="{63B3BB69-23CF-44E3-9099-C40C66FF867C}">
                  <a14:compatExt spid="_x0000_s5679"/>
                </a:ext>
                <a:ext uri="{FF2B5EF4-FFF2-40B4-BE49-F238E27FC236}">
                  <a16:creationId xmlns:a16="http://schemas.microsoft.com/office/drawing/2014/main" id="{00000000-0008-0000-0300-00002F16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292100</xdr:colOff>
      <xdr:row>9</xdr:row>
      <xdr:rowOff>6350</xdr:rowOff>
    </xdr:from>
    <xdr:to>
      <xdr:col>9</xdr:col>
      <xdr:colOff>507999</xdr:colOff>
      <xdr:row>11</xdr:row>
      <xdr:rowOff>171450</xdr:rowOff>
    </xdr:to>
    <xdr:sp macro="" textlink="">
      <xdr:nvSpPr>
        <xdr:cNvPr id="35" name="Rectangle: Rounded Corners 34">
          <a:extLst>
            <a:ext uri="{FF2B5EF4-FFF2-40B4-BE49-F238E27FC236}">
              <a16:creationId xmlns:a16="http://schemas.microsoft.com/office/drawing/2014/main" id="{00000000-0008-0000-0300-000023000000}"/>
            </a:ext>
          </a:extLst>
        </xdr:cNvPr>
        <xdr:cNvSpPr/>
      </xdr:nvSpPr>
      <xdr:spPr>
        <a:xfrm>
          <a:off x="292100" y="1860550"/>
          <a:ext cx="6038849" cy="546100"/>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203201</xdr:colOff>
      <xdr:row>4</xdr:row>
      <xdr:rowOff>12700</xdr:rowOff>
    </xdr:from>
    <xdr:to>
      <xdr:col>9</xdr:col>
      <xdr:colOff>400051</xdr:colOff>
      <xdr:row>8</xdr:row>
      <xdr:rowOff>171450</xdr:rowOff>
    </xdr:to>
    <xdr:sp macro="" textlink="">
      <xdr:nvSpPr>
        <xdr:cNvPr id="36" name="Rectangle: Rounded Corners 35">
          <a:extLst>
            <a:ext uri="{FF2B5EF4-FFF2-40B4-BE49-F238E27FC236}">
              <a16:creationId xmlns:a16="http://schemas.microsoft.com/office/drawing/2014/main" id="{00000000-0008-0000-0300-000024000000}"/>
            </a:ext>
          </a:extLst>
        </xdr:cNvPr>
        <xdr:cNvSpPr/>
      </xdr:nvSpPr>
      <xdr:spPr>
        <a:xfrm>
          <a:off x="4673601" y="914400"/>
          <a:ext cx="1549400" cy="920750"/>
        </a:xfrm>
        <a:prstGeom prst="roundRect">
          <a:avLst>
            <a:gd name="adj" fmla="val 9871"/>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609600</xdr:colOff>
      <xdr:row>58</xdr:row>
      <xdr:rowOff>50799</xdr:rowOff>
    </xdr:from>
    <xdr:to>
      <xdr:col>7</xdr:col>
      <xdr:colOff>31750</xdr:colOff>
      <xdr:row>59</xdr:row>
      <xdr:rowOff>139700</xdr:rowOff>
    </xdr:to>
    <xdr:sp macro="" textlink="">
      <xdr:nvSpPr>
        <xdr:cNvPr id="37" name="Rectangle: Rounded Corners 36">
          <a:extLst>
            <a:ext uri="{FF2B5EF4-FFF2-40B4-BE49-F238E27FC236}">
              <a16:creationId xmlns:a16="http://schemas.microsoft.com/office/drawing/2014/main" id="{00000000-0008-0000-0300-000025000000}"/>
            </a:ext>
          </a:extLst>
        </xdr:cNvPr>
        <xdr:cNvSpPr/>
      </xdr:nvSpPr>
      <xdr:spPr>
        <a:xfrm>
          <a:off x="2489200" y="11315699"/>
          <a:ext cx="2012950" cy="279401"/>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6</xdr:col>
      <xdr:colOff>450850</xdr:colOff>
      <xdr:row>2</xdr:row>
      <xdr:rowOff>19050</xdr:rowOff>
    </xdr:from>
    <xdr:to>
      <xdr:col>10</xdr:col>
      <xdr:colOff>114300</xdr:colOff>
      <xdr:row>2</xdr:row>
      <xdr:rowOff>222250</xdr:rowOff>
    </xdr:to>
    <xdr:sp macro="" textlink="">
      <xdr:nvSpPr>
        <xdr:cNvPr id="28" name="Rectangle: Rounded Corners 27">
          <a:extLst>
            <a:ext uri="{FF2B5EF4-FFF2-40B4-BE49-F238E27FC236}">
              <a16:creationId xmlns:a16="http://schemas.microsoft.com/office/drawing/2014/main" id="{00000000-0008-0000-0300-00001C000000}"/>
            </a:ext>
          </a:extLst>
        </xdr:cNvPr>
        <xdr:cNvSpPr/>
      </xdr:nvSpPr>
      <xdr:spPr>
        <a:xfrm>
          <a:off x="4273550" y="527050"/>
          <a:ext cx="2311400" cy="203200"/>
        </a:xfrm>
        <a:prstGeom prst="roundRect">
          <a:avLst>
            <a:gd name="adj" fmla="val 9871"/>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25400</xdr:colOff>
      <xdr:row>23</xdr:row>
      <xdr:rowOff>69850</xdr:rowOff>
    </xdr:from>
    <xdr:to>
      <xdr:col>0</xdr:col>
      <xdr:colOff>641350</xdr:colOff>
      <xdr:row>26</xdr:row>
      <xdr:rowOff>139700</xdr:rowOff>
    </xdr:to>
    <xdr:sp macro="" textlink="">
      <xdr:nvSpPr>
        <xdr:cNvPr id="29" name="Rectangle: Rounded Corners 28">
          <a:extLst>
            <a:ext uri="{FF2B5EF4-FFF2-40B4-BE49-F238E27FC236}">
              <a16:creationId xmlns:a16="http://schemas.microsoft.com/office/drawing/2014/main" id="{1E43A4D7-68D1-4337-B2C8-EF63A3DB9522}"/>
            </a:ext>
          </a:extLst>
        </xdr:cNvPr>
        <xdr:cNvSpPr/>
      </xdr:nvSpPr>
      <xdr:spPr>
        <a:xfrm>
          <a:off x="25400" y="4667250"/>
          <a:ext cx="615950" cy="641350"/>
        </a:xfrm>
        <a:prstGeom prst="roundRect">
          <a:avLst/>
        </a:prstGeom>
        <a:blipFill>
          <a:blip xmlns:r="http://schemas.openxmlformats.org/officeDocument/2006/relationships" r:embed="rId33"/>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152400</xdr:colOff>
      <xdr:row>23</xdr:row>
      <xdr:rowOff>19050</xdr:rowOff>
    </xdr:from>
    <xdr:to>
      <xdr:col>8</xdr:col>
      <xdr:colOff>228600</xdr:colOff>
      <xdr:row>26</xdr:row>
      <xdr:rowOff>146050</xdr:rowOff>
    </xdr:to>
    <xdr:sp macro="" textlink="">
      <xdr:nvSpPr>
        <xdr:cNvPr id="30" name="Rectangle: Rounded Corners 29">
          <a:extLst>
            <a:ext uri="{FF2B5EF4-FFF2-40B4-BE49-F238E27FC236}">
              <a16:creationId xmlns:a16="http://schemas.microsoft.com/office/drawing/2014/main" id="{A017E08A-C905-413A-B2FF-D790ACE82C60}"/>
            </a:ext>
          </a:extLst>
        </xdr:cNvPr>
        <xdr:cNvSpPr/>
      </xdr:nvSpPr>
      <xdr:spPr>
        <a:xfrm>
          <a:off x="4622800" y="4616450"/>
          <a:ext cx="723900" cy="698500"/>
        </a:xfrm>
        <a:prstGeom prst="roundRect">
          <a:avLst/>
        </a:prstGeom>
        <a:blipFill>
          <a:blip xmlns:r="http://schemas.openxmlformats.org/officeDocument/2006/relationships" r:embed="rId34"/>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50800</xdr:colOff>
      <xdr:row>30</xdr:row>
      <xdr:rowOff>12700</xdr:rowOff>
    </xdr:from>
    <xdr:to>
      <xdr:col>0</xdr:col>
      <xdr:colOff>666750</xdr:colOff>
      <xdr:row>33</xdr:row>
      <xdr:rowOff>0</xdr:rowOff>
    </xdr:to>
    <xdr:sp macro="" textlink="">
      <xdr:nvSpPr>
        <xdr:cNvPr id="31" name="Rectangle: Rounded Corners 30">
          <a:extLst>
            <a:ext uri="{FF2B5EF4-FFF2-40B4-BE49-F238E27FC236}">
              <a16:creationId xmlns:a16="http://schemas.microsoft.com/office/drawing/2014/main" id="{0545700A-1483-45A3-AA15-957F91A83A6E}"/>
            </a:ext>
          </a:extLst>
        </xdr:cNvPr>
        <xdr:cNvSpPr/>
      </xdr:nvSpPr>
      <xdr:spPr>
        <a:xfrm>
          <a:off x="50800" y="5943600"/>
          <a:ext cx="615950" cy="558800"/>
        </a:xfrm>
        <a:prstGeom prst="roundRect">
          <a:avLst/>
        </a:prstGeom>
        <a:blipFill>
          <a:blip xmlns:r="http://schemas.openxmlformats.org/officeDocument/2006/relationships" r:embed="rId35"/>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44450</xdr:colOff>
      <xdr:row>35</xdr:row>
      <xdr:rowOff>101600</xdr:rowOff>
    </xdr:from>
    <xdr:to>
      <xdr:col>0</xdr:col>
      <xdr:colOff>660400</xdr:colOff>
      <xdr:row>38</xdr:row>
      <xdr:rowOff>88900</xdr:rowOff>
    </xdr:to>
    <xdr:sp macro="" textlink="">
      <xdr:nvSpPr>
        <xdr:cNvPr id="33" name="Rectangle: Rounded Corners 32">
          <a:extLst>
            <a:ext uri="{FF2B5EF4-FFF2-40B4-BE49-F238E27FC236}">
              <a16:creationId xmlns:a16="http://schemas.microsoft.com/office/drawing/2014/main" id="{E6E4B1CF-E594-4A95-8990-EE8CD0297E51}"/>
            </a:ext>
          </a:extLst>
        </xdr:cNvPr>
        <xdr:cNvSpPr/>
      </xdr:nvSpPr>
      <xdr:spPr>
        <a:xfrm>
          <a:off x="44450" y="6985000"/>
          <a:ext cx="615950" cy="558800"/>
        </a:xfrm>
        <a:prstGeom prst="roundRect">
          <a:avLst/>
        </a:prstGeom>
        <a:blipFill>
          <a:blip xmlns:r="http://schemas.openxmlformats.org/officeDocument/2006/relationships" r:embed="rId36"/>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38100</xdr:colOff>
      <xdr:row>51</xdr:row>
      <xdr:rowOff>38100</xdr:rowOff>
    </xdr:from>
    <xdr:to>
      <xdr:col>0</xdr:col>
      <xdr:colOff>668216</xdr:colOff>
      <xdr:row>54</xdr:row>
      <xdr:rowOff>118696</xdr:rowOff>
    </xdr:to>
    <xdr:sp macro="" textlink="">
      <xdr:nvSpPr>
        <xdr:cNvPr id="40" name="Rectangle: Rounded Corners 39">
          <a:extLst>
            <a:ext uri="{FF2B5EF4-FFF2-40B4-BE49-F238E27FC236}">
              <a16:creationId xmlns:a16="http://schemas.microsoft.com/office/drawing/2014/main" id="{C5E8D56B-386C-49E3-80F9-374F872126F3}"/>
            </a:ext>
          </a:extLst>
        </xdr:cNvPr>
        <xdr:cNvSpPr/>
      </xdr:nvSpPr>
      <xdr:spPr>
        <a:xfrm>
          <a:off x="38100" y="9969500"/>
          <a:ext cx="630116" cy="652096"/>
        </a:xfrm>
        <a:prstGeom prst="roundRect">
          <a:avLst/>
        </a:prstGeom>
        <a:blipFill>
          <a:blip xmlns:r="http://schemas.openxmlformats.org/officeDocument/2006/relationships" r:embed="rId37"/>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247650</xdr:colOff>
      <xdr:row>79</xdr:row>
      <xdr:rowOff>177800</xdr:rowOff>
    </xdr:from>
    <xdr:to>
      <xdr:col>8</xdr:col>
      <xdr:colOff>180731</xdr:colOff>
      <xdr:row>82</xdr:row>
      <xdr:rowOff>128953</xdr:rowOff>
    </xdr:to>
    <xdr:sp macro="" textlink="">
      <xdr:nvSpPr>
        <xdr:cNvPr id="47" name="Rectangle: Rounded Corners 46">
          <a:extLst>
            <a:ext uri="{FF2B5EF4-FFF2-40B4-BE49-F238E27FC236}">
              <a16:creationId xmlns:a16="http://schemas.microsoft.com/office/drawing/2014/main" id="{214492B0-8D46-482B-8107-95447DACAEE8}"/>
            </a:ext>
          </a:extLst>
        </xdr:cNvPr>
        <xdr:cNvSpPr/>
      </xdr:nvSpPr>
      <xdr:spPr>
        <a:xfrm>
          <a:off x="4718050" y="15538450"/>
          <a:ext cx="580781" cy="548053"/>
        </a:xfrm>
        <a:prstGeom prst="roundRect">
          <a:avLst/>
        </a:prstGeom>
        <a:blipFill>
          <a:blip xmlns:r="http://schemas.openxmlformats.org/officeDocument/2006/relationships" r:embed="rId38"/>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50800</xdr:colOff>
      <xdr:row>89</xdr:row>
      <xdr:rowOff>63500</xdr:rowOff>
    </xdr:from>
    <xdr:to>
      <xdr:col>1</xdr:col>
      <xdr:colOff>121139</xdr:colOff>
      <xdr:row>94</xdr:row>
      <xdr:rowOff>34192</xdr:rowOff>
    </xdr:to>
    <xdr:sp macro="" textlink="">
      <xdr:nvSpPr>
        <xdr:cNvPr id="48" name="Rectangle: Rounded Corners 47">
          <a:extLst>
            <a:ext uri="{FF2B5EF4-FFF2-40B4-BE49-F238E27FC236}">
              <a16:creationId xmlns:a16="http://schemas.microsoft.com/office/drawing/2014/main" id="{DC52D9A2-CDE2-48E7-ACEA-6C4675B3C233}"/>
            </a:ext>
          </a:extLst>
        </xdr:cNvPr>
        <xdr:cNvSpPr/>
      </xdr:nvSpPr>
      <xdr:spPr>
        <a:xfrm>
          <a:off x="50800" y="17379950"/>
          <a:ext cx="864089" cy="923192"/>
        </a:xfrm>
        <a:prstGeom prst="roundRect">
          <a:avLst/>
        </a:prstGeom>
        <a:blipFill>
          <a:blip xmlns:r="http://schemas.openxmlformats.org/officeDocument/2006/relationships" r:embed="rId39"/>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6</xdr:col>
      <xdr:colOff>82550</xdr:colOff>
      <xdr:row>139</xdr:row>
      <xdr:rowOff>158750</xdr:rowOff>
    </xdr:from>
    <xdr:to>
      <xdr:col>7</xdr:col>
      <xdr:colOff>114300</xdr:colOff>
      <xdr:row>143</xdr:row>
      <xdr:rowOff>38100</xdr:rowOff>
    </xdr:to>
    <xdr:sp macro="" textlink="">
      <xdr:nvSpPr>
        <xdr:cNvPr id="5461" name="Rectangle: Rounded Corners 5460">
          <a:extLst>
            <a:ext uri="{FF2B5EF4-FFF2-40B4-BE49-F238E27FC236}">
              <a16:creationId xmlns:a16="http://schemas.microsoft.com/office/drawing/2014/main" id="{EF227515-F725-41E5-B19C-855D49A5BA7A}"/>
            </a:ext>
          </a:extLst>
        </xdr:cNvPr>
        <xdr:cNvSpPr/>
      </xdr:nvSpPr>
      <xdr:spPr>
        <a:xfrm>
          <a:off x="3905250" y="27089100"/>
          <a:ext cx="679450" cy="641350"/>
        </a:xfrm>
        <a:prstGeom prst="roundRect">
          <a:avLst/>
        </a:prstGeom>
        <a:blipFill>
          <a:blip xmlns:r="http://schemas.openxmlformats.org/officeDocument/2006/relationships" r:embed="rId40"/>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137</xdr:row>
      <xdr:rowOff>139700</xdr:rowOff>
    </xdr:from>
    <xdr:to>
      <xdr:col>0</xdr:col>
      <xdr:colOff>749300</xdr:colOff>
      <xdr:row>140</xdr:row>
      <xdr:rowOff>123580</xdr:rowOff>
    </xdr:to>
    <xdr:sp macro="" textlink="">
      <xdr:nvSpPr>
        <xdr:cNvPr id="10318" name="Rectangle: Rounded Corners 10317">
          <a:extLst>
            <a:ext uri="{FF2B5EF4-FFF2-40B4-BE49-F238E27FC236}">
              <a16:creationId xmlns:a16="http://schemas.microsoft.com/office/drawing/2014/main" id="{7BEEAE78-D815-4F66-B7CE-15008E21863E}"/>
            </a:ext>
          </a:extLst>
        </xdr:cNvPr>
        <xdr:cNvSpPr/>
      </xdr:nvSpPr>
      <xdr:spPr>
        <a:xfrm>
          <a:off x="76200" y="26543000"/>
          <a:ext cx="673100" cy="568080"/>
        </a:xfrm>
        <a:prstGeom prst="roundRect">
          <a:avLst/>
        </a:prstGeom>
        <a:blipFill>
          <a:blip xmlns:r="http://schemas.openxmlformats.org/officeDocument/2006/relationships" r:embed="rId1"/>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19050</xdr:colOff>
      <xdr:row>140</xdr:row>
      <xdr:rowOff>152400</xdr:rowOff>
    </xdr:from>
    <xdr:to>
      <xdr:col>0</xdr:col>
      <xdr:colOff>711200</xdr:colOff>
      <xdr:row>144</xdr:row>
      <xdr:rowOff>2930</xdr:rowOff>
    </xdr:to>
    <xdr:sp macro="" textlink="">
      <xdr:nvSpPr>
        <xdr:cNvPr id="10321" name="Rectangle: Rounded Corners 10320">
          <a:extLst>
            <a:ext uri="{FF2B5EF4-FFF2-40B4-BE49-F238E27FC236}">
              <a16:creationId xmlns:a16="http://schemas.microsoft.com/office/drawing/2014/main" id="{05CECABB-8499-4992-9FA0-3478C3800AE0}"/>
            </a:ext>
          </a:extLst>
        </xdr:cNvPr>
        <xdr:cNvSpPr/>
      </xdr:nvSpPr>
      <xdr:spPr>
        <a:xfrm>
          <a:off x="19050" y="27139900"/>
          <a:ext cx="692150" cy="625230"/>
        </a:xfrm>
        <a:prstGeom prst="roundRect">
          <a:avLst/>
        </a:prstGeom>
        <a:blipFill>
          <a:blip xmlns:r="http://schemas.openxmlformats.org/officeDocument/2006/relationships" r:embed="rId2"/>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31750</xdr:colOff>
      <xdr:row>143</xdr:row>
      <xdr:rowOff>184150</xdr:rowOff>
    </xdr:from>
    <xdr:to>
      <xdr:col>0</xdr:col>
      <xdr:colOff>698500</xdr:colOff>
      <xdr:row>146</xdr:row>
      <xdr:rowOff>174380</xdr:rowOff>
    </xdr:to>
    <xdr:sp macro="" textlink="">
      <xdr:nvSpPr>
        <xdr:cNvPr id="10368" name="Rectangle: Rounded Corners 10367">
          <a:extLst>
            <a:ext uri="{FF2B5EF4-FFF2-40B4-BE49-F238E27FC236}">
              <a16:creationId xmlns:a16="http://schemas.microsoft.com/office/drawing/2014/main" id="{4870725D-99AB-44E4-837B-F91387DB7BD6}"/>
            </a:ext>
          </a:extLst>
        </xdr:cNvPr>
        <xdr:cNvSpPr/>
      </xdr:nvSpPr>
      <xdr:spPr>
        <a:xfrm>
          <a:off x="31750" y="27755850"/>
          <a:ext cx="666750" cy="561730"/>
        </a:xfrm>
        <a:prstGeom prst="roundRect">
          <a:avLst/>
        </a:prstGeom>
        <a:blipFill>
          <a:blip xmlns:r="http://schemas.openxmlformats.org/officeDocument/2006/relationships" r:embed="rId3"/>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44450</xdr:colOff>
      <xdr:row>147</xdr:row>
      <xdr:rowOff>6350</xdr:rowOff>
    </xdr:from>
    <xdr:to>
      <xdr:col>0</xdr:col>
      <xdr:colOff>730250</xdr:colOff>
      <xdr:row>149</xdr:row>
      <xdr:rowOff>177800</xdr:rowOff>
    </xdr:to>
    <xdr:sp macro="" textlink="">
      <xdr:nvSpPr>
        <xdr:cNvPr id="10369" name="Rectangle: Rounded Corners 10368">
          <a:extLst>
            <a:ext uri="{FF2B5EF4-FFF2-40B4-BE49-F238E27FC236}">
              <a16:creationId xmlns:a16="http://schemas.microsoft.com/office/drawing/2014/main" id="{8BC93985-2EF5-4DF6-9D92-E6C2C4569280}"/>
            </a:ext>
          </a:extLst>
        </xdr:cNvPr>
        <xdr:cNvSpPr/>
      </xdr:nvSpPr>
      <xdr:spPr>
        <a:xfrm>
          <a:off x="44450" y="28340050"/>
          <a:ext cx="685800" cy="552450"/>
        </a:xfrm>
        <a:prstGeom prst="roundRect">
          <a:avLst/>
        </a:prstGeom>
        <a:blipFill>
          <a:blip xmlns:r="http://schemas.openxmlformats.org/officeDocument/2006/relationships" r:embed="rId4"/>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5</xdr:col>
      <xdr:colOff>609600</xdr:colOff>
      <xdr:row>136</xdr:row>
      <xdr:rowOff>171450</xdr:rowOff>
    </xdr:from>
    <xdr:to>
      <xdr:col>6</xdr:col>
      <xdr:colOff>641350</xdr:colOff>
      <xdr:row>140</xdr:row>
      <xdr:rowOff>38100</xdr:rowOff>
    </xdr:to>
    <xdr:sp macro="" textlink="">
      <xdr:nvSpPr>
        <xdr:cNvPr id="10371" name="Rectangle: Rounded Corners 10370">
          <a:extLst>
            <a:ext uri="{FF2B5EF4-FFF2-40B4-BE49-F238E27FC236}">
              <a16:creationId xmlns:a16="http://schemas.microsoft.com/office/drawing/2014/main" id="{3F353283-F154-4A2C-882D-D2146EA8921B}"/>
            </a:ext>
          </a:extLst>
        </xdr:cNvPr>
        <xdr:cNvSpPr/>
      </xdr:nvSpPr>
      <xdr:spPr>
        <a:xfrm>
          <a:off x="3829050" y="26384250"/>
          <a:ext cx="679450" cy="641350"/>
        </a:xfrm>
        <a:prstGeom prst="roundRect">
          <a:avLst/>
        </a:prstGeom>
        <a:blipFill>
          <a:blip xmlns:r="http://schemas.openxmlformats.org/officeDocument/2006/relationships" r:embed="rId5"/>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8</xdr:col>
      <xdr:colOff>603250</xdr:colOff>
      <xdr:row>138</xdr:row>
      <xdr:rowOff>114300</xdr:rowOff>
    </xdr:from>
    <xdr:to>
      <xdr:col>9</xdr:col>
      <xdr:colOff>635000</xdr:colOff>
      <xdr:row>141</xdr:row>
      <xdr:rowOff>152400</xdr:rowOff>
    </xdr:to>
    <xdr:sp macro="" textlink="">
      <xdr:nvSpPr>
        <xdr:cNvPr id="10372" name="Rectangle: Rounded Corners 10371">
          <a:extLst>
            <a:ext uri="{FF2B5EF4-FFF2-40B4-BE49-F238E27FC236}">
              <a16:creationId xmlns:a16="http://schemas.microsoft.com/office/drawing/2014/main" id="{2474ED4F-33F9-4DC7-B11F-33ECCECAB6AB}"/>
            </a:ext>
          </a:extLst>
        </xdr:cNvPr>
        <xdr:cNvSpPr/>
      </xdr:nvSpPr>
      <xdr:spPr>
        <a:xfrm>
          <a:off x="5765800" y="26720800"/>
          <a:ext cx="679450" cy="609600"/>
        </a:xfrm>
        <a:prstGeom prst="roundRect">
          <a:avLst/>
        </a:prstGeom>
        <a:blipFill>
          <a:blip xmlns:r="http://schemas.openxmlformats.org/officeDocument/2006/relationships" r:embed="rId6"/>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76200</xdr:colOff>
      <xdr:row>131</xdr:row>
      <xdr:rowOff>50800</xdr:rowOff>
    </xdr:from>
    <xdr:to>
      <xdr:col>0</xdr:col>
      <xdr:colOff>774700</xdr:colOff>
      <xdr:row>135</xdr:row>
      <xdr:rowOff>123580</xdr:rowOff>
    </xdr:to>
    <xdr:sp macro="" textlink="">
      <xdr:nvSpPr>
        <xdr:cNvPr id="55" name="Rectangle: Rounded Corners 54">
          <a:extLst>
            <a:ext uri="{FF2B5EF4-FFF2-40B4-BE49-F238E27FC236}">
              <a16:creationId xmlns:a16="http://schemas.microsoft.com/office/drawing/2014/main" id="{52A4E52B-EA59-4DC4-AF93-1EC0B53533DE}"/>
            </a:ext>
          </a:extLst>
        </xdr:cNvPr>
        <xdr:cNvSpPr/>
      </xdr:nvSpPr>
      <xdr:spPr>
        <a:xfrm>
          <a:off x="76200" y="25311100"/>
          <a:ext cx="698500" cy="834780"/>
        </a:xfrm>
        <a:prstGeom prst="roundRect">
          <a:avLst/>
        </a:prstGeom>
        <a:blipFill>
          <a:blip xmlns:r="http://schemas.openxmlformats.org/officeDocument/2006/relationships" r:embed="rId7"/>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209550</xdr:colOff>
      <xdr:row>128</xdr:row>
      <xdr:rowOff>184150</xdr:rowOff>
    </xdr:from>
    <xdr:to>
      <xdr:col>4</xdr:col>
      <xdr:colOff>190500</xdr:colOff>
      <xdr:row>132</xdr:row>
      <xdr:rowOff>60080</xdr:rowOff>
    </xdr:to>
    <xdr:sp macro="" textlink="">
      <xdr:nvSpPr>
        <xdr:cNvPr id="57" name="Rectangle: Rounded Corners 56">
          <a:extLst>
            <a:ext uri="{FF2B5EF4-FFF2-40B4-BE49-F238E27FC236}">
              <a16:creationId xmlns:a16="http://schemas.microsoft.com/office/drawing/2014/main" id="{1299C57D-EED7-4B88-AD9F-6FE1A156640E}"/>
            </a:ext>
          </a:extLst>
        </xdr:cNvPr>
        <xdr:cNvSpPr/>
      </xdr:nvSpPr>
      <xdr:spPr>
        <a:xfrm>
          <a:off x="2133600" y="24847550"/>
          <a:ext cx="628650" cy="663330"/>
        </a:xfrm>
        <a:prstGeom prst="roundRect">
          <a:avLst/>
        </a:prstGeom>
        <a:blipFill>
          <a:blip xmlns:r="http://schemas.openxmlformats.org/officeDocument/2006/relationships" r:embed="rId8"/>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5</xdr:col>
      <xdr:colOff>527050</xdr:colOff>
      <xdr:row>131</xdr:row>
      <xdr:rowOff>31750</xdr:rowOff>
    </xdr:from>
    <xdr:to>
      <xdr:col>6</xdr:col>
      <xdr:colOff>552450</xdr:colOff>
      <xdr:row>134</xdr:row>
      <xdr:rowOff>85480</xdr:rowOff>
    </xdr:to>
    <xdr:sp macro="" textlink="">
      <xdr:nvSpPr>
        <xdr:cNvPr id="63" name="Rectangle: Rounded Corners 62">
          <a:extLst>
            <a:ext uri="{FF2B5EF4-FFF2-40B4-BE49-F238E27FC236}">
              <a16:creationId xmlns:a16="http://schemas.microsoft.com/office/drawing/2014/main" id="{F54D871A-15F2-4EE3-B726-2DB6D30E08D7}"/>
            </a:ext>
          </a:extLst>
        </xdr:cNvPr>
        <xdr:cNvSpPr/>
      </xdr:nvSpPr>
      <xdr:spPr>
        <a:xfrm>
          <a:off x="3746500" y="25292050"/>
          <a:ext cx="673100" cy="625230"/>
        </a:xfrm>
        <a:prstGeom prst="roundRect">
          <a:avLst/>
        </a:prstGeom>
        <a:blipFill>
          <a:blip xmlns:r="http://schemas.openxmlformats.org/officeDocument/2006/relationships" r:embed="rId9"/>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57150</xdr:colOff>
      <xdr:row>129</xdr:row>
      <xdr:rowOff>88900</xdr:rowOff>
    </xdr:from>
    <xdr:to>
      <xdr:col>8</xdr:col>
      <xdr:colOff>82550</xdr:colOff>
      <xdr:row>132</xdr:row>
      <xdr:rowOff>117230</xdr:rowOff>
    </xdr:to>
    <xdr:sp macro="" textlink="">
      <xdr:nvSpPr>
        <xdr:cNvPr id="10315" name="Rectangle: Rounded Corners 10314">
          <a:extLst>
            <a:ext uri="{FF2B5EF4-FFF2-40B4-BE49-F238E27FC236}">
              <a16:creationId xmlns:a16="http://schemas.microsoft.com/office/drawing/2014/main" id="{94B4DAB1-9FAA-47D6-8407-303C60EA1DBC}"/>
            </a:ext>
          </a:extLst>
        </xdr:cNvPr>
        <xdr:cNvSpPr/>
      </xdr:nvSpPr>
      <xdr:spPr>
        <a:xfrm>
          <a:off x="4572000" y="24942800"/>
          <a:ext cx="673100" cy="625230"/>
        </a:xfrm>
        <a:prstGeom prst="roundRect">
          <a:avLst/>
        </a:prstGeom>
        <a:blipFill>
          <a:blip xmlns:r="http://schemas.openxmlformats.org/officeDocument/2006/relationships" r:embed="rId10"/>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38100</xdr:colOff>
      <xdr:row>120</xdr:row>
      <xdr:rowOff>190500</xdr:rowOff>
    </xdr:from>
    <xdr:to>
      <xdr:col>0</xdr:col>
      <xdr:colOff>647700</xdr:colOff>
      <xdr:row>125</xdr:row>
      <xdr:rowOff>66430</xdr:rowOff>
    </xdr:to>
    <xdr:sp macro="" textlink="">
      <xdr:nvSpPr>
        <xdr:cNvPr id="52" name="Rectangle: Rounded Corners 51">
          <a:extLst>
            <a:ext uri="{FF2B5EF4-FFF2-40B4-BE49-F238E27FC236}">
              <a16:creationId xmlns:a16="http://schemas.microsoft.com/office/drawing/2014/main" id="{202D64E8-5AA2-460F-94E1-B8BE46A1EE58}"/>
            </a:ext>
          </a:extLst>
        </xdr:cNvPr>
        <xdr:cNvSpPr/>
      </xdr:nvSpPr>
      <xdr:spPr>
        <a:xfrm>
          <a:off x="38100" y="23317200"/>
          <a:ext cx="609600" cy="841130"/>
        </a:xfrm>
        <a:prstGeom prst="roundRect">
          <a:avLst/>
        </a:prstGeom>
        <a:blipFill>
          <a:blip xmlns:r="http://schemas.openxmlformats.org/officeDocument/2006/relationships" r:embed="rId11"/>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317500</xdr:colOff>
      <xdr:row>120</xdr:row>
      <xdr:rowOff>152400</xdr:rowOff>
    </xdr:from>
    <xdr:to>
      <xdr:col>4</xdr:col>
      <xdr:colOff>368300</xdr:colOff>
      <xdr:row>125</xdr:row>
      <xdr:rowOff>9280</xdr:rowOff>
    </xdr:to>
    <xdr:sp macro="" textlink="">
      <xdr:nvSpPr>
        <xdr:cNvPr id="53" name="Rectangle: Rounded Corners 52">
          <a:extLst>
            <a:ext uri="{FF2B5EF4-FFF2-40B4-BE49-F238E27FC236}">
              <a16:creationId xmlns:a16="http://schemas.microsoft.com/office/drawing/2014/main" id="{BC0C0776-CE2F-462F-9B70-8BA738E205E0}"/>
            </a:ext>
          </a:extLst>
        </xdr:cNvPr>
        <xdr:cNvSpPr/>
      </xdr:nvSpPr>
      <xdr:spPr>
        <a:xfrm>
          <a:off x="2241550" y="23279100"/>
          <a:ext cx="698500" cy="822080"/>
        </a:xfrm>
        <a:prstGeom prst="roundRect">
          <a:avLst/>
        </a:prstGeom>
        <a:blipFill>
          <a:blip xmlns:r="http://schemas.openxmlformats.org/officeDocument/2006/relationships" r:embed="rId12"/>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6</xdr:col>
      <xdr:colOff>539750</xdr:colOff>
      <xdr:row>120</xdr:row>
      <xdr:rowOff>44450</xdr:rowOff>
    </xdr:from>
    <xdr:to>
      <xdr:col>8</xdr:col>
      <xdr:colOff>63500</xdr:colOff>
      <xdr:row>125</xdr:row>
      <xdr:rowOff>82550</xdr:rowOff>
    </xdr:to>
    <xdr:sp macro="" textlink="">
      <xdr:nvSpPr>
        <xdr:cNvPr id="54" name="Rectangle: Rounded Corners 53">
          <a:extLst>
            <a:ext uri="{FF2B5EF4-FFF2-40B4-BE49-F238E27FC236}">
              <a16:creationId xmlns:a16="http://schemas.microsoft.com/office/drawing/2014/main" id="{FEF500B5-E81A-4AA2-A031-A1A25C7CC83C}"/>
            </a:ext>
          </a:extLst>
        </xdr:cNvPr>
        <xdr:cNvSpPr/>
      </xdr:nvSpPr>
      <xdr:spPr>
        <a:xfrm>
          <a:off x="4406900" y="23171150"/>
          <a:ext cx="819150" cy="1003300"/>
        </a:xfrm>
        <a:prstGeom prst="roundRect">
          <a:avLst/>
        </a:prstGeom>
        <a:blipFill>
          <a:blip xmlns:r="http://schemas.openxmlformats.org/officeDocument/2006/relationships" r:embed="rId13"/>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44450</xdr:colOff>
      <xdr:row>113</xdr:row>
      <xdr:rowOff>182196</xdr:rowOff>
    </xdr:from>
    <xdr:to>
      <xdr:col>0</xdr:col>
      <xdr:colOff>777141</xdr:colOff>
      <xdr:row>118</xdr:row>
      <xdr:rowOff>13676</xdr:rowOff>
    </xdr:to>
    <xdr:sp macro="" textlink="">
      <xdr:nvSpPr>
        <xdr:cNvPr id="49" name="Rectangle: Rounded Corners 48">
          <a:extLst>
            <a:ext uri="{FF2B5EF4-FFF2-40B4-BE49-F238E27FC236}">
              <a16:creationId xmlns:a16="http://schemas.microsoft.com/office/drawing/2014/main" id="{63CDC6E8-3F34-46FD-8945-1AD05A129624}"/>
            </a:ext>
          </a:extLst>
        </xdr:cNvPr>
        <xdr:cNvSpPr/>
      </xdr:nvSpPr>
      <xdr:spPr>
        <a:xfrm>
          <a:off x="44450" y="21962696"/>
          <a:ext cx="732691" cy="796680"/>
        </a:xfrm>
        <a:prstGeom prst="roundRect">
          <a:avLst/>
        </a:prstGeom>
        <a:blipFill>
          <a:blip xmlns:r="http://schemas.openxmlformats.org/officeDocument/2006/relationships" r:embed="rId14"/>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227134</xdr:colOff>
      <xdr:row>113</xdr:row>
      <xdr:rowOff>146050</xdr:rowOff>
    </xdr:from>
    <xdr:to>
      <xdr:col>4</xdr:col>
      <xdr:colOff>398584</xdr:colOff>
      <xdr:row>118</xdr:row>
      <xdr:rowOff>53730</xdr:rowOff>
    </xdr:to>
    <xdr:sp macro="" textlink="">
      <xdr:nvSpPr>
        <xdr:cNvPr id="50" name="Rectangle: Rounded Corners 49">
          <a:extLst>
            <a:ext uri="{FF2B5EF4-FFF2-40B4-BE49-F238E27FC236}">
              <a16:creationId xmlns:a16="http://schemas.microsoft.com/office/drawing/2014/main" id="{D9578BC9-9D2E-4903-8CCA-C10B6E3F8CAF}"/>
            </a:ext>
          </a:extLst>
        </xdr:cNvPr>
        <xdr:cNvSpPr/>
      </xdr:nvSpPr>
      <xdr:spPr>
        <a:xfrm>
          <a:off x="2151184" y="21926550"/>
          <a:ext cx="819150" cy="872880"/>
        </a:xfrm>
        <a:prstGeom prst="roundRect">
          <a:avLst/>
        </a:prstGeom>
        <a:blipFill>
          <a:blip xmlns:r="http://schemas.openxmlformats.org/officeDocument/2006/relationships" r:embed="rId15"/>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6</xdr:col>
      <xdr:colOff>506534</xdr:colOff>
      <xdr:row>113</xdr:row>
      <xdr:rowOff>127000</xdr:rowOff>
    </xdr:from>
    <xdr:to>
      <xdr:col>8</xdr:col>
      <xdr:colOff>30284</xdr:colOff>
      <xdr:row>118</xdr:row>
      <xdr:rowOff>34680</xdr:rowOff>
    </xdr:to>
    <xdr:sp macro="" textlink="">
      <xdr:nvSpPr>
        <xdr:cNvPr id="51" name="Rectangle: Rounded Corners 50">
          <a:extLst>
            <a:ext uri="{FF2B5EF4-FFF2-40B4-BE49-F238E27FC236}">
              <a16:creationId xmlns:a16="http://schemas.microsoft.com/office/drawing/2014/main" id="{E2ADA1D3-6185-4DA0-9DA1-ECB088D0CB09}"/>
            </a:ext>
          </a:extLst>
        </xdr:cNvPr>
        <xdr:cNvSpPr/>
      </xdr:nvSpPr>
      <xdr:spPr>
        <a:xfrm>
          <a:off x="4373684" y="21907500"/>
          <a:ext cx="819150" cy="872880"/>
        </a:xfrm>
        <a:prstGeom prst="roundRect">
          <a:avLst/>
        </a:prstGeom>
        <a:blipFill>
          <a:blip xmlns:r="http://schemas.openxmlformats.org/officeDocument/2006/relationships" r:embed="rId16"/>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101600</xdr:colOff>
      <xdr:row>104</xdr:row>
      <xdr:rowOff>6350</xdr:rowOff>
    </xdr:from>
    <xdr:to>
      <xdr:col>0</xdr:col>
      <xdr:colOff>833803</xdr:colOff>
      <xdr:row>108</xdr:row>
      <xdr:rowOff>35657</xdr:rowOff>
    </xdr:to>
    <xdr:sp macro="" textlink="">
      <xdr:nvSpPr>
        <xdr:cNvPr id="48" name="Rectangle: Rounded Corners 47">
          <a:extLst>
            <a:ext uri="{FF2B5EF4-FFF2-40B4-BE49-F238E27FC236}">
              <a16:creationId xmlns:a16="http://schemas.microsoft.com/office/drawing/2014/main" id="{22FD2A9D-AC10-4731-AE5B-AE5846085E22}"/>
            </a:ext>
          </a:extLst>
        </xdr:cNvPr>
        <xdr:cNvSpPr/>
      </xdr:nvSpPr>
      <xdr:spPr>
        <a:xfrm>
          <a:off x="101600" y="20085050"/>
          <a:ext cx="732203" cy="791307"/>
        </a:xfrm>
        <a:prstGeom prst="roundRect">
          <a:avLst/>
        </a:prstGeom>
        <a:blipFill>
          <a:blip xmlns:r="http://schemas.openxmlformats.org/officeDocument/2006/relationships" r:embed="rId17"/>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57150</xdr:colOff>
      <xdr:row>72</xdr:row>
      <xdr:rowOff>44450</xdr:rowOff>
    </xdr:from>
    <xdr:to>
      <xdr:col>0</xdr:col>
      <xdr:colOff>716573</xdr:colOff>
      <xdr:row>75</xdr:row>
      <xdr:rowOff>118696</xdr:rowOff>
    </xdr:to>
    <xdr:sp macro="" textlink="">
      <xdr:nvSpPr>
        <xdr:cNvPr id="43" name="Rectangle: Rounded Corners 42">
          <a:extLst>
            <a:ext uri="{FF2B5EF4-FFF2-40B4-BE49-F238E27FC236}">
              <a16:creationId xmlns:a16="http://schemas.microsoft.com/office/drawing/2014/main" id="{DEA3725D-674D-4292-B6C4-B7ACE885E715}"/>
            </a:ext>
          </a:extLst>
        </xdr:cNvPr>
        <xdr:cNvSpPr/>
      </xdr:nvSpPr>
      <xdr:spPr>
        <a:xfrm>
          <a:off x="57150" y="13893800"/>
          <a:ext cx="659423" cy="677496"/>
        </a:xfrm>
        <a:prstGeom prst="roundRect">
          <a:avLst/>
        </a:prstGeom>
        <a:blipFill>
          <a:blip xmlns:r="http://schemas.openxmlformats.org/officeDocument/2006/relationships" r:embed="rId18"/>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69850</xdr:colOff>
      <xdr:row>65</xdr:row>
      <xdr:rowOff>107950</xdr:rowOff>
    </xdr:from>
    <xdr:to>
      <xdr:col>0</xdr:col>
      <xdr:colOff>729273</xdr:colOff>
      <xdr:row>69</xdr:row>
      <xdr:rowOff>10746</xdr:rowOff>
    </xdr:to>
    <xdr:sp macro="" textlink="">
      <xdr:nvSpPr>
        <xdr:cNvPr id="42" name="Rectangle: Rounded Corners 41">
          <a:extLst>
            <a:ext uri="{FF2B5EF4-FFF2-40B4-BE49-F238E27FC236}">
              <a16:creationId xmlns:a16="http://schemas.microsoft.com/office/drawing/2014/main" id="{039699F3-A6AA-4480-9630-63F426C6D687}"/>
            </a:ext>
          </a:extLst>
        </xdr:cNvPr>
        <xdr:cNvSpPr/>
      </xdr:nvSpPr>
      <xdr:spPr>
        <a:xfrm>
          <a:off x="69850" y="12585700"/>
          <a:ext cx="659423" cy="677496"/>
        </a:xfrm>
        <a:prstGeom prst="roundRect">
          <a:avLst/>
        </a:prstGeom>
        <a:blipFill>
          <a:blip xmlns:r="http://schemas.openxmlformats.org/officeDocument/2006/relationships" r:embed="rId19"/>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38100</xdr:colOff>
      <xdr:row>58</xdr:row>
      <xdr:rowOff>171450</xdr:rowOff>
    </xdr:from>
    <xdr:to>
      <xdr:col>0</xdr:col>
      <xdr:colOff>734158</xdr:colOff>
      <xdr:row>62</xdr:row>
      <xdr:rowOff>68874</xdr:rowOff>
    </xdr:to>
    <xdr:sp macro="" textlink="">
      <xdr:nvSpPr>
        <xdr:cNvPr id="41" name="Rectangle: Rounded Corners 40">
          <a:extLst>
            <a:ext uri="{FF2B5EF4-FFF2-40B4-BE49-F238E27FC236}">
              <a16:creationId xmlns:a16="http://schemas.microsoft.com/office/drawing/2014/main" id="{9A5D5C0E-00F8-49E5-9AD9-29179C8D1F1B}"/>
            </a:ext>
          </a:extLst>
        </xdr:cNvPr>
        <xdr:cNvSpPr/>
      </xdr:nvSpPr>
      <xdr:spPr>
        <a:xfrm>
          <a:off x="38100" y="11315700"/>
          <a:ext cx="696058" cy="659424"/>
        </a:xfrm>
        <a:prstGeom prst="roundRect">
          <a:avLst/>
        </a:prstGeom>
        <a:blipFill>
          <a:blip xmlns:r="http://schemas.openxmlformats.org/officeDocument/2006/relationships" r:embed="rId20"/>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95250</xdr:colOff>
      <xdr:row>52</xdr:row>
      <xdr:rowOff>120650</xdr:rowOff>
    </xdr:from>
    <xdr:to>
      <xdr:col>0</xdr:col>
      <xdr:colOff>725366</xdr:colOff>
      <xdr:row>56</xdr:row>
      <xdr:rowOff>10746</xdr:rowOff>
    </xdr:to>
    <xdr:sp macro="" textlink="">
      <xdr:nvSpPr>
        <xdr:cNvPr id="40" name="Rectangle: Rounded Corners 39">
          <a:extLst>
            <a:ext uri="{FF2B5EF4-FFF2-40B4-BE49-F238E27FC236}">
              <a16:creationId xmlns:a16="http://schemas.microsoft.com/office/drawing/2014/main" id="{6213DC99-7377-4C95-83CE-75B861AB3958}"/>
            </a:ext>
          </a:extLst>
        </xdr:cNvPr>
        <xdr:cNvSpPr/>
      </xdr:nvSpPr>
      <xdr:spPr>
        <a:xfrm>
          <a:off x="95250" y="10121900"/>
          <a:ext cx="630116" cy="652096"/>
        </a:xfrm>
        <a:prstGeom prst="roundRect">
          <a:avLst/>
        </a:prstGeom>
        <a:blipFill>
          <a:blip xmlns:r="http://schemas.openxmlformats.org/officeDocument/2006/relationships" r:embed="rId21"/>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9</xdr:col>
      <xdr:colOff>979</xdr:colOff>
      <xdr:row>44</xdr:row>
      <xdr:rowOff>96717</xdr:rowOff>
    </xdr:from>
    <xdr:to>
      <xdr:col>9</xdr:col>
      <xdr:colOff>587133</xdr:colOff>
      <xdr:row>47</xdr:row>
      <xdr:rowOff>52755</xdr:rowOff>
    </xdr:to>
    <xdr:sp macro="" textlink="">
      <xdr:nvSpPr>
        <xdr:cNvPr id="37" name="Rectangle: Rounded Corners 36">
          <a:extLst>
            <a:ext uri="{FF2B5EF4-FFF2-40B4-BE49-F238E27FC236}">
              <a16:creationId xmlns:a16="http://schemas.microsoft.com/office/drawing/2014/main" id="{746D67F0-C8C9-446B-985B-931FC8856ECC}"/>
            </a:ext>
          </a:extLst>
        </xdr:cNvPr>
        <xdr:cNvSpPr/>
      </xdr:nvSpPr>
      <xdr:spPr>
        <a:xfrm>
          <a:off x="5811229" y="8573967"/>
          <a:ext cx="586154" cy="527538"/>
        </a:xfrm>
        <a:prstGeom prst="roundRect">
          <a:avLst/>
        </a:prstGeom>
        <a:blipFill>
          <a:blip xmlns:r="http://schemas.openxmlformats.org/officeDocument/2006/relationships" r:embed="rId22"/>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38100</xdr:colOff>
      <xdr:row>45</xdr:row>
      <xdr:rowOff>490</xdr:rowOff>
    </xdr:from>
    <xdr:to>
      <xdr:col>0</xdr:col>
      <xdr:colOff>785447</xdr:colOff>
      <xdr:row>48</xdr:row>
      <xdr:rowOff>169009</xdr:rowOff>
    </xdr:to>
    <xdr:sp macro="" textlink="">
      <xdr:nvSpPr>
        <xdr:cNvPr id="38" name="Rectangle: Rounded Corners 37">
          <a:extLst>
            <a:ext uri="{FF2B5EF4-FFF2-40B4-BE49-F238E27FC236}">
              <a16:creationId xmlns:a16="http://schemas.microsoft.com/office/drawing/2014/main" id="{1D724C26-4FE0-41C5-AFF3-F0737D2843A4}"/>
            </a:ext>
          </a:extLst>
        </xdr:cNvPr>
        <xdr:cNvSpPr/>
      </xdr:nvSpPr>
      <xdr:spPr>
        <a:xfrm>
          <a:off x="38100" y="8668240"/>
          <a:ext cx="747347" cy="740019"/>
        </a:xfrm>
        <a:prstGeom prst="roundRect">
          <a:avLst/>
        </a:prstGeom>
        <a:blipFill>
          <a:blip xmlns:r="http://schemas.openxmlformats.org/officeDocument/2006/relationships" r:embed="rId23"/>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5</xdr:col>
      <xdr:colOff>559289</xdr:colOff>
      <xdr:row>44</xdr:row>
      <xdr:rowOff>95250</xdr:rowOff>
    </xdr:from>
    <xdr:to>
      <xdr:col>6</xdr:col>
      <xdr:colOff>604228</xdr:colOff>
      <xdr:row>47</xdr:row>
      <xdr:rowOff>14654</xdr:rowOff>
    </xdr:to>
    <xdr:sp macro="" textlink="">
      <xdr:nvSpPr>
        <xdr:cNvPr id="39" name="Rectangle: Rounded Corners 38">
          <a:extLst>
            <a:ext uri="{FF2B5EF4-FFF2-40B4-BE49-F238E27FC236}">
              <a16:creationId xmlns:a16="http://schemas.microsoft.com/office/drawing/2014/main" id="{B410DD35-FB2A-45DB-839F-2CFB2517CC07}"/>
            </a:ext>
          </a:extLst>
        </xdr:cNvPr>
        <xdr:cNvSpPr/>
      </xdr:nvSpPr>
      <xdr:spPr>
        <a:xfrm>
          <a:off x="3778739" y="8572500"/>
          <a:ext cx="692639" cy="490904"/>
        </a:xfrm>
        <a:prstGeom prst="roundRect">
          <a:avLst/>
        </a:prstGeom>
        <a:blipFill>
          <a:blip xmlns:r="http://schemas.openxmlformats.org/officeDocument/2006/relationships" r:embed="rId22"/>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50800</xdr:colOff>
      <xdr:row>33</xdr:row>
      <xdr:rowOff>158750</xdr:rowOff>
    </xdr:from>
    <xdr:to>
      <xdr:col>0</xdr:col>
      <xdr:colOff>666750</xdr:colOff>
      <xdr:row>36</xdr:row>
      <xdr:rowOff>146050</xdr:rowOff>
    </xdr:to>
    <xdr:sp macro="" textlink="">
      <xdr:nvSpPr>
        <xdr:cNvPr id="16" name="Rectangle: Rounded Corners 15">
          <a:extLst>
            <a:ext uri="{FF2B5EF4-FFF2-40B4-BE49-F238E27FC236}">
              <a16:creationId xmlns:a16="http://schemas.microsoft.com/office/drawing/2014/main" id="{927585C1-381E-4C4B-BD5E-CE76B4601521}"/>
            </a:ext>
          </a:extLst>
        </xdr:cNvPr>
        <xdr:cNvSpPr/>
      </xdr:nvSpPr>
      <xdr:spPr>
        <a:xfrm>
          <a:off x="50800" y="6540500"/>
          <a:ext cx="615950" cy="558800"/>
        </a:xfrm>
        <a:prstGeom prst="roundRect">
          <a:avLst/>
        </a:prstGeom>
        <a:blipFill>
          <a:blip xmlns:r="http://schemas.openxmlformats.org/officeDocument/2006/relationships" r:embed="rId24"/>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44450</xdr:colOff>
      <xdr:row>39</xdr:row>
      <xdr:rowOff>57150</xdr:rowOff>
    </xdr:from>
    <xdr:to>
      <xdr:col>0</xdr:col>
      <xdr:colOff>660400</xdr:colOff>
      <xdr:row>42</xdr:row>
      <xdr:rowOff>44450</xdr:rowOff>
    </xdr:to>
    <xdr:sp macro="" textlink="">
      <xdr:nvSpPr>
        <xdr:cNvPr id="36" name="Rectangle: Rounded Corners 35">
          <a:extLst>
            <a:ext uri="{FF2B5EF4-FFF2-40B4-BE49-F238E27FC236}">
              <a16:creationId xmlns:a16="http://schemas.microsoft.com/office/drawing/2014/main" id="{F58BFCF1-B2A6-4A03-B0DF-8F7866DD6C6E}"/>
            </a:ext>
          </a:extLst>
        </xdr:cNvPr>
        <xdr:cNvSpPr/>
      </xdr:nvSpPr>
      <xdr:spPr>
        <a:xfrm>
          <a:off x="44450" y="7581900"/>
          <a:ext cx="615950" cy="558800"/>
        </a:xfrm>
        <a:prstGeom prst="roundRect">
          <a:avLst/>
        </a:prstGeom>
        <a:blipFill>
          <a:blip xmlns:r="http://schemas.openxmlformats.org/officeDocument/2006/relationships" r:embed="rId25"/>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7</xdr:col>
          <xdr:colOff>200025</xdr:colOff>
          <xdr:row>46</xdr:row>
          <xdr:rowOff>171450</xdr:rowOff>
        </xdr:from>
        <xdr:to>
          <xdr:col>7</xdr:col>
          <xdr:colOff>447675</xdr:colOff>
          <xdr:row>48</xdr:row>
          <xdr:rowOff>9525</xdr:rowOff>
        </xdr:to>
        <xdr:sp macro="" textlink="">
          <xdr:nvSpPr>
            <xdr:cNvPr id="10241" name="Option Button 1" hidden="1">
              <a:extLst>
                <a:ext uri="{63B3BB69-23CF-44E3-9099-C40C66FF867C}">
                  <a14:compatExt spid="_x0000_s10241"/>
                </a:ext>
                <a:ext uri="{FF2B5EF4-FFF2-40B4-BE49-F238E27FC236}">
                  <a16:creationId xmlns:a16="http://schemas.microsoft.com/office/drawing/2014/main" id="{00000000-0008-0000-0500-00000128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33</xdr:row>
          <xdr:rowOff>180975</xdr:rowOff>
        </xdr:from>
        <xdr:to>
          <xdr:col>4</xdr:col>
          <xdr:colOff>95250</xdr:colOff>
          <xdr:row>35</xdr:row>
          <xdr:rowOff>9525</xdr:rowOff>
        </xdr:to>
        <xdr:sp macro="" textlink="">
          <xdr:nvSpPr>
            <xdr:cNvPr id="10244" name="Option Button 4" hidden="1">
              <a:extLst>
                <a:ext uri="{63B3BB69-23CF-44E3-9099-C40C66FF867C}">
                  <a14:compatExt spid="_x0000_s10244"/>
                </a:ext>
                <a:ext uri="{FF2B5EF4-FFF2-40B4-BE49-F238E27FC236}">
                  <a16:creationId xmlns:a16="http://schemas.microsoft.com/office/drawing/2014/main" id="{00000000-0008-0000-05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34</xdr:row>
          <xdr:rowOff>0</xdr:rowOff>
        </xdr:from>
        <xdr:to>
          <xdr:col>5</xdr:col>
          <xdr:colOff>95250</xdr:colOff>
          <xdr:row>35</xdr:row>
          <xdr:rowOff>19050</xdr:rowOff>
        </xdr:to>
        <xdr:sp macro="" textlink="">
          <xdr:nvSpPr>
            <xdr:cNvPr id="10245" name="Option Button 5" hidden="1">
              <a:extLst>
                <a:ext uri="{63B3BB69-23CF-44E3-9099-C40C66FF867C}">
                  <a14:compatExt spid="_x0000_s10245"/>
                </a:ext>
                <a:ext uri="{FF2B5EF4-FFF2-40B4-BE49-F238E27FC236}">
                  <a16:creationId xmlns:a16="http://schemas.microsoft.com/office/drawing/2014/main" id="{00000000-0008-0000-05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34</xdr:row>
          <xdr:rowOff>0</xdr:rowOff>
        </xdr:from>
        <xdr:to>
          <xdr:col>7</xdr:col>
          <xdr:colOff>114300</xdr:colOff>
          <xdr:row>35</xdr:row>
          <xdr:rowOff>28575</xdr:rowOff>
        </xdr:to>
        <xdr:sp macro="" textlink="">
          <xdr:nvSpPr>
            <xdr:cNvPr id="10246" name="Option Button 6" hidden="1">
              <a:extLst>
                <a:ext uri="{63B3BB69-23CF-44E3-9099-C40C66FF867C}">
                  <a14:compatExt spid="_x0000_s10246"/>
                </a:ext>
                <a:ext uri="{FF2B5EF4-FFF2-40B4-BE49-F238E27FC236}">
                  <a16:creationId xmlns:a16="http://schemas.microsoft.com/office/drawing/2014/main" id="{00000000-0008-0000-05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44</xdr:row>
          <xdr:rowOff>161925</xdr:rowOff>
        </xdr:from>
        <xdr:to>
          <xdr:col>4</xdr:col>
          <xdr:colOff>200025</xdr:colOff>
          <xdr:row>46</xdr:row>
          <xdr:rowOff>9525</xdr:rowOff>
        </xdr:to>
        <xdr:sp macro="" textlink="">
          <xdr:nvSpPr>
            <xdr:cNvPr id="10247" name="Option Button 7" hidden="1">
              <a:extLst>
                <a:ext uri="{63B3BB69-23CF-44E3-9099-C40C66FF867C}">
                  <a14:compatExt spid="_x0000_s10247"/>
                </a:ext>
                <a:ext uri="{FF2B5EF4-FFF2-40B4-BE49-F238E27FC236}">
                  <a16:creationId xmlns:a16="http://schemas.microsoft.com/office/drawing/2014/main" id="{00000000-0008-0000-0500-000007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45</xdr:row>
          <xdr:rowOff>171450</xdr:rowOff>
        </xdr:from>
        <xdr:to>
          <xdr:col>4</xdr:col>
          <xdr:colOff>200025</xdr:colOff>
          <xdr:row>47</xdr:row>
          <xdr:rowOff>9525</xdr:rowOff>
        </xdr:to>
        <xdr:sp macro="" textlink="">
          <xdr:nvSpPr>
            <xdr:cNvPr id="10248" name="Option Button 8" hidden="1">
              <a:extLst>
                <a:ext uri="{63B3BB69-23CF-44E3-9099-C40C66FF867C}">
                  <a14:compatExt spid="_x0000_s10248"/>
                </a:ext>
                <a:ext uri="{FF2B5EF4-FFF2-40B4-BE49-F238E27FC236}">
                  <a16:creationId xmlns:a16="http://schemas.microsoft.com/office/drawing/2014/main" id="{00000000-0008-0000-0500-000008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49" name="Option Button 9" hidden="1">
              <a:extLst>
                <a:ext uri="{63B3BB69-23CF-44E3-9099-C40C66FF867C}">
                  <a14:compatExt spid="_x0000_s10249"/>
                </a:ext>
                <a:ext uri="{FF2B5EF4-FFF2-40B4-BE49-F238E27FC236}">
                  <a16:creationId xmlns:a16="http://schemas.microsoft.com/office/drawing/2014/main" id="{00000000-0008-0000-05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63500</xdr:colOff>
      <xdr:row>9</xdr:row>
      <xdr:rowOff>50800</xdr:rowOff>
    </xdr:from>
    <xdr:to>
      <xdr:col>9</xdr:col>
      <xdr:colOff>635000</xdr:colOff>
      <xdr:row>11</xdr:row>
      <xdr:rowOff>184150</xdr:rowOff>
    </xdr:to>
    <xdr:sp macro="" textlink="">
      <xdr:nvSpPr>
        <xdr:cNvPr id="7" name="Rectangle: Rounded Corners 6">
          <a:extLst>
            <a:ext uri="{FF2B5EF4-FFF2-40B4-BE49-F238E27FC236}">
              <a16:creationId xmlns:a16="http://schemas.microsoft.com/office/drawing/2014/main" id="{00000000-0008-0000-0500-000007000000}"/>
            </a:ext>
          </a:extLst>
        </xdr:cNvPr>
        <xdr:cNvSpPr/>
      </xdr:nvSpPr>
      <xdr:spPr>
        <a:xfrm>
          <a:off x="63500" y="1860550"/>
          <a:ext cx="6381750" cy="514350"/>
        </a:xfrm>
        <a:prstGeom prst="roundRect">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endParaRPr lang="sv-SE" sz="800" b="1">
            <a:solidFill>
              <a:sysClr val="windowText" lastClr="000000"/>
            </a:solidFill>
            <a:effectLst/>
          </a:endParaRPr>
        </a:p>
      </xdr:txBody>
    </xdr:sp>
    <xdr:clientData/>
  </xdr:twoCellAnchor>
  <mc:AlternateContent xmlns:mc="http://schemas.openxmlformats.org/markup-compatibility/2006">
    <mc:Choice xmlns:a14="http://schemas.microsoft.com/office/drawing/2010/main" Requires="a14">
      <xdr:twoCellAnchor editAs="oneCell">
        <xdr:from>
          <xdr:col>0</xdr:col>
          <xdr:colOff>590550</xdr:colOff>
          <xdr:row>27</xdr:row>
          <xdr:rowOff>9525</xdr:rowOff>
        </xdr:from>
        <xdr:to>
          <xdr:col>0</xdr:col>
          <xdr:colOff>819150</xdr:colOff>
          <xdr:row>28</xdr:row>
          <xdr:rowOff>19050</xdr:rowOff>
        </xdr:to>
        <xdr:sp macro="" textlink="">
          <xdr:nvSpPr>
            <xdr:cNvPr id="10250" name="Option Button 10" hidden="1">
              <a:extLst>
                <a:ext uri="{63B3BB69-23CF-44E3-9099-C40C66FF867C}">
                  <a14:compatExt spid="_x0000_s10250"/>
                </a:ext>
                <a:ext uri="{FF2B5EF4-FFF2-40B4-BE49-F238E27FC236}">
                  <a16:creationId xmlns:a16="http://schemas.microsoft.com/office/drawing/2014/main" id="{00000000-0008-0000-05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28</xdr:row>
          <xdr:rowOff>9525</xdr:rowOff>
        </xdr:from>
        <xdr:to>
          <xdr:col>0</xdr:col>
          <xdr:colOff>819150</xdr:colOff>
          <xdr:row>29</xdr:row>
          <xdr:rowOff>38100</xdr:rowOff>
        </xdr:to>
        <xdr:sp macro="" textlink="">
          <xdr:nvSpPr>
            <xdr:cNvPr id="10251" name="Option Button 11" hidden="1">
              <a:extLst>
                <a:ext uri="{63B3BB69-23CF-44E3-9099-C40C66FF867C}">
                  <a14:compatExt spid="_x0000_s10251"/>
                </a:ext>
                <a:ext uri="{FF2B5EF4-FFF2-40B4-BE49-F238E27FC236}">
                  <a16:creationId xmlns:a16="http://schemas.microsoft.com/office/drawing/2014/main" id="{00000000-0008-0000-05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29</xdr:row>
          <xdr:rowOff>180975</xdr:rowOff>
        </xdr:from>
        <xdr:to>
          <xdr:col>0</xdr:col>
          <xdr:colOff>819150</xdr:colOff>
          <xdr:row>31</xdr:row>
          <xdr:rowOff>19050</xdr:rowOff>
        </xdr:to>
        <xdr:sp macro="" textlink="">
          <xdr:nvSpPr>
            <xdr:cNvPr id="10252" name="Option Button 12" hidden="1">
              <a:extLst>
                <a:ext uri="{63B3BB69-23CF-44E3-9099-C40C66FF867C}">
                  <a14:compatExt spid="_x0000_s10252"/>
                </a:ext>
                <a:ext uri="{FF2B5EF4-FFF2-40B4-BE49-F238E27FC236}">
                  <a16:creationId xmlns:a16="http://schemas.microsoft.com/office/drawing/2014/main" id="{00000000-0008-0000-05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27</xdr:row>
          <xdr:rowOff>0</xdr:rowOff>
        </xdr:from>
        <xdr:to>
          <xdr:col>4</xdr:col>
          <xdr:colOff>190500</xdr:colOff>
          <xdr:row>28</xdr:row>
          <xdr:rowOff>28575</xdr:rowOff>
        </xdr:to>
        <xdr:sp macro="" textlink="">
          <xdr:nvSpPr>
            <xdr:cNvPr id="10253" name="Option Button 13" hidden="1">
              <a:extLst>
                <a:ext uri="{63B3BB69-23CF-44E3-9099-C40C66FF867C}">
                  <a14:compatExt spid="_x0000_s10253"/>
                </a:ext>
                <a:ext uri="{FF2B5EF4-FFF2-40B4-BE49-F238E27FC236}">
                  <a16:creationId xmlns:a16="http://schemas.microsoft.com/office/drawing/2014/main" id="{00000000-0008-0000-0500-00000D28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54" name="Option Button 14" hidden="1">
              <a:extLst>
                <a:ext uri="{63B3BB69-23CF-44E3-9099-C40C66FF867C}">
                  <a14:compatExt spid="_x0000_s10254"/>
                </a:ext>
                <a:ext uri="{FF2B5EF4-FFF2-40B4-BE49-F238E27FC236}">
                  <a16:creationId xmlns:a16="http://schemas.microsoft.com/office/drawing/2014/main" id="{00000000-0008-0000-05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485775</xdr:colOff>
          <xdr:row>44</xdr:row>
          <xdr:rowOff>142875</xdr:rowOff>
        </xdr:from>
        <xdr:to>
          <xdr:col>10</xdr:col>
          <xdr:colOff>19050</xdr:colOff>
          <xdr:row>49</xdr:row>
          <xdr:rowOff>114300</xdr:rowOff>
        </xdr:to>
        <xdr:sp macro="" textlink="">
          <xdr:nvSpPr>
            <xdr:cNvPr id="10255" name="Group Box 15" hidden="1">
              <a:extLst>
                <a:ext uri="{63B3BB69-23CF-44E3-9099-C40C66FF867C}">
                  <a14:compatExt spid="_x0000_s10255"/>
                </a:ext>
                <a:ext uri="{FF2B5EF4-FFF2-40B4-BE49-F238E27FC236}">
                  <a16:creationId xmlns:a16="http://schemas.microsoft.com/office/drawing/2014/main" id="{00000000-0008-0000-0500-00000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361950</xdr:colOff>
          <xdr:row>52</xdr:row>
          <xdr:rowOff>76200</xdr:rowOff>
        </xdr:from>
        <xdr:to>
          <xdr:col>9</xdr:col>
          <xdr:colOff>561975</xdr:colOff>
          <xdr:row>54</xdr:row>
          <xdr:rowOff>95250</xdr:rowOff>
        </xdr:to>
        <xdr:sp macro="" textlink="">
          <xdr:nvSpPr>
            <xdr:cNvPr id="10256" name="Group Box 16" hidden="1">
              <a:extLst>
                <a:ext uri="{63B3BB69-23CF-44E3-9099-C40C66FF867C}">
                  <a14:compatExt spid="_x0000_s10256"/>
                </a:ext>
                <a:ext uri="{FF2B5EF4-FFF2-40B4-BE49-F238E27FC236}">
                  <a16:creationId xmlns:a16="http://schemas.microsoft.com/office/drawing/2014/main" id="{00000000-0008-0000-0500-00001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526</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57" name="Option Button 17" hidden="1">
              <a:extLst>
                <a:ext uri="{63B3BB69-23CF-44E3-9099-C40C66FF867C}">
                  <a14:compatExt spid="_x0000_s10257"/>
                </a:ext>
                <a:ext uri="{FF2B5EF4-FFF2-40B4-BE49-F238E27FC236}">
                  <a16:creationId xmlns:a16="http://schemas.microsoft.com/office/drawing/2014/main" id="{00000000-0008-0000-05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52</xdr:row>
          <xdr:rowOff>180975</xdr:rowOff>
        </xdr:from>
        <xdr:to>
          <xdr:col>2</xdr:col>
          <xdr:colOff>47625</xdr:colOff>
          <xdr:row>54</xdr:row>
          <xdr:rowOff>19050</xdr:rowOff>
        </xdr:to>
        <xdr:sp macro="" textlink="">
          <xdr:nvSpPr>
            <xdr:cNvPr id="10258" name="Option Button 18" hidden="1">
              <a:extLst>
                <a:ext uri="{63B3BB69-23CF-44E3-9099-C40C66FF867C}">
                  <a14:compatExt spid="_x0000_s10258"/>
                </a:ext>
                <a:ext uri="{FF2B5EF4-FFF2-40B4-BE49-F238E27FC236}">
                  <a16:creationId xmlns:a16="http://schemas.microsoft.com/office/drawing/2014/main" id="{00000000-0008-0000-05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52</xdr:row>
          <xdr:rowOff>171450</xdr:rowOff>
        </xdr:from>
        <xdr:to>
          <xdr:col>3</xdr:col>
          <xdr:colOff>28575</xdr:colOff>
          <xdr:row>54</xdr:row>
          <xdr:rowOff>9525</xdr:rowOff>
        </xdr:to>
        <xdr:sp macro="" textlink="">
          <xdr:nvSpPr>
            <xdr:cNvPr id="10259" name="Option 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52</xdr:row>
          <xdr:rowOff>161925</xdr:rowOff>
        </xdr:from>
        <xdr:to>
          <xdr:col>4</xdr:col>
          <xdr:colOff>28575</xdr:colOff>
          <xdr:row>54</xdr:row>
          <xdr:rowOff>0</xdr:rowOff>
        </xdr:to>
        <xdr:sp macro="" textlink="">
          <xdr:nvSpPr>
            <xdr:cNvPr id="10260" name="Option Button 20" hidden="1">
              <a:extLst>
                <a:ext uri="{63B3BB69-23CF-44E3-9099-C40C66FF867C}">
                  <a14:compatExt spid="_x0000_s10260"/>
                </a:ext>
                <a:ext uri="{FF2B5EF4-FFF2-40B4-BE49-F238E27FC236}">
                  <a16:creationId xmlns:a16="http://schemas.microsoft.com/office/drawing/2014/main" id="{00000000-0008-0000-05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52</xdr:row>
          <xdr:rowOff>161925</xdr:rowOff>
        </xdr:from>
        <xdr:to>
          <xdr:col>5</xdr:col>
          <xdr:colOff>9525</xdr:colOff>
          <xdr:row>54</xdr:row>
          <xdr:rowOff>0</xdr:rowOff>
        </xdr:to>
        <xdr:sp macro="" textlink="">
          <xdr:nvSpPr>
            <xdr:cNvPr id="10261" name="Option Button 21" hidden="1">
              <a:extLst>
                <a:ext uri="{63B3BB69-23CF-44E3-9099-C40C66FF867C}">
                  <a14:compatExt spid="_x0000_s10261"/>
                </a:ext>
                <a:ext uri="{FF2B5EF4-FFF2-40B4-BE49-F238E27FC236}">
                  <a16:creationId xmlns:a16="http://schemas.microsoft.com/office/drawing/2014/main" id="{00000000-0008-0000-05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52</xdr:row>
          <xdr:rowOff>171450</xdr:rowOff>
        </xdr:from>
        <xdr:to>
          <xdr:col>6</xdr:col>
          <xdr:colOff>9525</xdr:colOff>
          <xdr:row>54</xdr:row>
          <xdr:rowOff>9525</xdr:rowOff>
        </xdr:to>
        <xdr:sp macro="" textlink="">
          <xdr:nvSpPr>
            <xdr:cNvPr id="10262" name="Option Button 22" hidden="1">
              <a:extLst>
                <a:ext uri="{63B3BB69-23CF-44E3-9099-C40C66FF867C}">
                  <a14:compatExt spid="_x0000_s10262"/>
                </a:ext>
                <a:ext uri="{FF2B5EF4-FFF2-40B4-BE49-F238E27FC236}">
                  <a16:creationId xmlns:a16="http://schemas.microsoft.com/office/drawing/2014/main" id="{00000000-0008-0000-05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52</xdr:row>
          <xdr:rowOff>171450</xdr:rowOff>
        </xdr:from>
        <xdr:to>
          <xdr:col>6</xdr:col>
          <xdr:colOff>638175</xdr:colOff>
          <xdr:row>54</xdr:row>
          <xdr:rowOff>9525</xdr:rowOff>
        </xdr:to>
        <xdr:sp macro="" textlink="">
          <xdr:nvSpPr>
            <xdr:cNvPr id="10263" name="Option Button 23" hidden="1">
              <a:extLst>
                <a:ext uri="{63B3BB69-23CF-44E3-9099-C40C66FF867C}">
                  <a14:compatExt spid="_x0000_s10263"/>
                </a:ext>
                <a:ext uri="{FF2B5EF4-FFF2-40B4-BE49-F238E27FC236}">
                  <a16:creationId xmlns:a16="http://schemas.microsoft.com/office/drawing/2014/main" id="{00000000-0008-0000-05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xdr:row>
          <xdr:rowOff>47625</xdr:rowOff>
        </xdr:from>
        <xdr:to>
          <xdr:col>9</xdr:col>
          <xdr:colOff>581025</xdr:colOff>
          <xdr:row>64</xdr:row>
          <xdr:rowOff>57150</xdr:rowOff>
        </xdr:to>
        <xdr:sp macro="" textlink="">
          <xdr:nvSpPr>
            <xdr:cNvPr id="10264" name="Group Box 24" hidden="1">
              <a:extLst>
                <a:ext uri="{63B3BB69-23CF-44E3-9099-C40C66FF867C}">
                  <a14:compatExt spid="_x0000_s10264"/>
                </a:ext>
                <a:ext uri="{FF2B5EF4-FFF2-40B4-BE49-F238E27FC236}">
                  <a16:creationId xmlns:a16="http://schemas.microsoft.com/office/drawing/2014/main" id="{00000000-0008-0000-0500-000018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535</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65" name="Option Button 25" hidden="1">
              <a:extLst>
                <a:ext uri="{63B3BB69-23CF-44E3-9099-C40C66FF867C}">
                  <a14:compatExt spid="_x0000_s10265"/>
                </a:ext>
                <a:ext uri="{FF2B5EF4-FFF2-40B4-BE49-F238E27FC236}">
                  <a16:creationId xmlns:a16="http://schemas.microsoft.com/office/drawing/2014/main" id="{00000000-0008-0000-05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59</xdr:row>
          <xdr:rowOff>171450</xdr:rowOff>
        </xdr:from>
        <xdr:to>
          <xdr:col>4</xdr:col>
          <xdr:colOff>161925</xdr:colOff>
          <xdr:row>61</xdr:row>
          <xdr:rowOff>9525</xdr:rowOff>
        </xdr:to>
        <xdr:sp macro="" textlink="">
          <xdr:nvSpPr>
            <xdr:cNvPr id="10266" name="Option Button 26" hidden="1">
              <a:extLst>
                <a:ext uri="{63B3BB69-23CF-44E3-9099-C40C66FF867C}">
                  <a14:compatExt spid="_x0000_s10266"/>
                </a:ext>
                <a:ext uri="{FF2B5EF4-FFF2-40B4-BE49-F238E27FC236}">
                  <a16:creationId xmlns:a16="http://schemas.microsoft.com/office/drawing/2014/main" id="{00000000-0008-0000-05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60</xdr:row>
          <xdr:rowOff>0</xdr:rowOff>
        </xdr:from>
        <xdr:to>
          <xdr:col>7</xdr:col>
          <xdr:colOff>495300</xdr:colOff>
          <xdr:row>61</xdr:row>
          <xdr:rowOff>28575</xdr:rowOff>
        </xdr:to>
        <xdr:sp macro="" textlink="">
          <xdr:nvSpPr>
            <xdr:cNvPr id="10267" name="Option Button 27" hidden="1">
              <a:extLst>
                <a:ext uri="{63B3BB69-23CF-44E3-9099-C40C66FF867C}">
                  <a14:compatExt spid="_x0000_s10267"/>
                </a:ext>
                <a:ext uri="{FF2B5EF4-FFF2-40B4-BE49-F238E27FC236}">
                  <a16:creationId xmlns:a16="http://schemas.microsoft.com/office/drawing/2014/main" id="{00000000-0008-0000-05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71</xdr:row>
          <xdr:rowOff>85725</xdr:rowOff>
        </xdr:from>
        <xdr:to>
          <xdr:col>10</xdr:col>
          <xdr:colOff>38100</xdr:colOff>
          <xdr:row>80</xdr:row>
          <xdr:rowOff>19050</xdr:rowOff>
        </xdr:to>
        <xdr:sp macro="" textlink="">
          <xdr:nvSpPr>
            <xdr:cNvPr id="10268" name="Group Box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69" name="Option Button 29" hidden="1">
              <a:extLst>
                <a:ext uri="{63B3BB69-23CF-44E3-9099-C40C66FF867C}">
                  <a14:compatExt spid="_x0000_s10269"/>
                </a:ext>
                <a:ext uri="{FF2B5EF4-FFF2-40B4-BE49-F238E27FC236}">
                  <a16:creationId xmlns:a16="http://schemas.microsoft.com/office/drawing/2014/main" id="{00000000-0008-0000-05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71</xdr:row>
          <xdr:rowOff>190500</xdr:rowOff>
        </xdr:from>
        <xdr:to>
          <xdr:col>0</xdr:col>
          <xdr:colOff>790575</xdr:colOff>
          <xdr:row>73</xdr:row>
          <xdr:rowOff>47625</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5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628650</xdr:colOff>
          <xdr:row>72</xdr:row>
          <xdr:rowOff>9525</xdr:rowOff>
        </xdr:from>
        <xdr:to>
          <xdr:col>4</xdr:col>
          <xdr:colOff>209550</xdr:colOff>
          <xdr:row>73</xdr:row>
          <xdr:rowOff>38100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5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5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5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71</xdr:row>
          <xdr:rowOff>180975</xdr:rowOff>
        </xdr:from>
        <xdr:to>
          <xdr:col>7</xdr:col>
          <xdr:colOff>514350</xdr:colOff>
          <xdr:row>73</xdr:row>
          <xdr:rowOff>19050</xdr:rowOff>
        </xdr:to>
        <xdr:sp macro="" textlink="">
          <xdr:nvSpPr>
            <xdr:cNvPr id="10274" name="Option Button 34" hidden="1">
              <a:extLst>
                <a:ext uri="{63B3BB69-23CF-44E3-9099-C40C66FF867C}">
                  <a14:compatExt spid="_x0000_s10274"/>
                </a:ext>
                <a:ext uri="{FF2B5EF4-FFF2-40B4-BE49-F238E27FC236}">
                  <a16:creationId xmlns:a16="http://schemas.microsoft.com/office/drawing/2014/main" id="{00000000-0008-0000-05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75" name="Option Button 35" hidden="1">
              <a:extLst>
                <a:ext uri="{63B3BB69-23CF-44E3-9099-C40C66FF867C}">
                  <a14:compatExt spid="_x0000_s10275"/>
                </a:ext>
                <a:ext uri="{FF2B5EF4-FFF2-40B4-BE49-F238E27FC236}">
                  <a16:creationId xmlns:a16="http://schemas.microsoft.com/office/drawing/2014/main" id="{00000000-0008-0000-05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76</xdr:row>
          <xdr:rowOff>0</xdr:rowOff>
        </xdr:from>
        <xdr:to>
          <xdr:col>4</xdr:col>
          <xdr:colOff>209550</xdr:colOff>
          <xdr:row>77</xdr:row>
          <xdr:rowOff>28575</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5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81</xdr:row>
          <xdr:rowOff>85725</xdr:rowOff>
        </xdr:from>
        <xdr:to>
          <xdr:col>10</xdr:col>
          <xdr:colOff>114300</xdr:colOff>
          <xdr:row>87</xdr:row>
          <xdr:rowOff>57150</xdr:rowOff>
        </xdr:to>
        <xdr:sp macro="" textlink="">
          <xdr:nvSpPr>
            <xdr:cNvPr id="10278" name="Group Box 38" hidden="1">
              <a:extLst>
                <a:ext uri="{63B3BB69-23CF-44E3-9099-C40C66FF867C}">
                  <a14:compatExt spid="_x0000_s10278"/>
                </a:ext>
                <a:ext uri="{FF2B5EF4-FFF2-40B4-BE49-F238E27FC236}">
                  <a16:creationId xmlns:a16="http://schemas.microsoft.com/office/drawing/2014/main" id="{00000000-0008-0000-0500-00002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80" name="Option Button 40" hidden="1">
              <a:extLst>
                <a:ext uri="{63B3BB69-23CF-44E3-9099-C40C66FF867C}">
                  <a14:compatExt spid="_x0000_s10280"/>
                </a:ext>
                <a:ext uri="{FF2B5EF4-FFF2-40B4-BE49-F238E27FC236}">
                  <a16:creationId xmlns:a16="http://schemas.microsoft.com/office/drawing/2014/main" id="{00000000-0008-0000-05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81</xdr:row>
          <xdr:rowOff>180975</xdr:rowOff>
        </xdr:from>
        <xdr:to>
          <xdr:col>7</xdr:col>
          <xdr:colOff>523875</xdr:colOff>
          <xdr:row>83</xdr:row>
          <xdr:rowOff>47625</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500-000029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628650</xdr:colOff>
          <xdr:row>89</xdr:row>
          <xdr:rowOff>171450</xdr:rowOff>
        </xdr:from>
        <xdr:to>
          <xdr:col>4</xdr:col>
          <xdr:colOff>180975</xdr:colOff>
          <xdr:row>91</xdr:row>
          <xdr:rowOff>9525</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5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89</xdr:row>
          <xdr:rowOff>9525</xdr:rowOff>
        </xdr:from>
        <xdr:to>
          <xdr:col>7</xdr:col>
          <xdr:colOff>542925</xdr:colOff>
          <xdr:row>90</xdr:row>
          <xdr:rowOff>38100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500-00002B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628650</xdr:colOff>
          <xdr:row>88</xdr:row>
          <xdr:rowOff>180975</xdr:rowOff>
        </xdr:from>
        <xdr:to>
          <xdr:col>4</xdr:col>
          <xdr:colOff>180975</xdr:colOff>
          <xdr:row>90</xdr:row>
          <xdr:rowOff>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5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5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113</xdr:row>
          <xdr:rowOff>95250</xdr:rowOff>
        </xdr:from>
        <xdr:to>
          <xdr:col>10</xdr:col>
          <xdr:colOff>104775</xdr:colOff>
          <xdr:row>119</xdr:row>
          <xdr:rowOff>95250</xdr:rowOff>
        </xdr:to>
        <xdr:sp macro="" textlink="">
          <xdr:nvSpPr>
            <xdr:cNvPr id="10286" name="Group Box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87" name="Option Button 47" hidden="1">
              <a:extLst>
                <a:ext uri="{63B3BB69-23CF-44E3-9099-C40C66FF867C}">
                  <a14:compatExt spid="_x0000_s10287"/>
                </a:ext>
                <a:ext uri="{FF2B5EF4-FFF2-40B4-BE49-F238E27FC236}">
                  <a16:creationId xmlns:a16="http://schemas.microsoft.com/office/drawing/2014/main" id="{00000000-0008-0000-0500-00002F28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113</xdr:row>
          <xdr:rowOff>200025</xdr:rowOff>
        </xdr:from>
        <xdr:to>
          <xdr:col>4</xdr:col>
          <xdr:colOff>600075</xdr:colOff>
          <xdr:row>115</xdr:row>
          <xdr:rowOff>28575</xdr:rowOff>
        </xdr:to>
        <xdr:sp macro="" textlink="">
          <xdr:nvSpPr>
            <xdr:cNvPr id="10288" name="Option Button 48" hidden="1">
              <a:extLst>
                <a:ext uri="{63B3BB69-23CF-44E3-9099-C40C66FF867C}">
                  <a14:compatExt spid="_x0000_s10288"/>
                </a:ext>
                <a:ext uri="{FF2B5EF4-FFF2-40B4-BE49-F238E27FC236}">
                  <a16:creationId xmlns:a16="http://schemas.microsoft.com/office/drawing/2014/main" id="{00000000-0008-0000-0500-000030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113</xdr:row>
          <xdr:rowOff>190500</xdr:rowOff>
        </xdr:from>
        <xdr:to>
          <xdr:col>8</xdr:col>
          <xdr:colOff>257175</xdr:colOff>
          <xdr:row>115</xdr:row>
          <xdr:rowOff>28575</xdr:rowOff>
        </xdr:to>
        <xdr:sp macro="" textlink="">
          <xdr:nvSpPr>
            <xdr:cNvPr id="10289" name="Option Button 49" hidden="1">
              <a:extLst>
                <a:ext uri="{63B3BB69-23CF-44E3-9099-C40C66FF867C}">
                  <a14:compatExt spid="_x0000_s10289"/>
                </a:ext>
                <a:ext uri="{FF2B5EF4-FFF2-40B4-BE49-F238E27FC236}">
                  <a16:creationId xmlns:a16="http://schemas.microsoft.com/office/drawing/2014/main" id="{00000000-0008-0000-0500-000031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5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120</xdr:row>
          <xdr:rowOff>9525</xdr:rowOff>
        </xdr:from>
        <xdr:to>
          <xdr:col>10</xdr:col>
          <xdr:colOff>133350</xdr:colOff>
          <xdr:row>127</xdr:row>
          <xdr:rowOff>133350</xdr:rowOff>
        </xdr:to>
        <xdr:sp macro="" textlink="">
          <xdr:nvSpPr>
            <xdr:cNvPr id="10291" name="Group Box 51" hidden="1">
              <a:extLst>
                <a:ext uri="{63B3BB69-23CF-44E3-9099-C40C66FF867C}">
                  <a14:compatExt spid="_x0000_s10291"/>
                </a:ext>
                <a:ext uri="{FF2B5EF4-FFF2-40B4-BE49-F238E27FC236}">
                  <a16:creationId xmlns:a16="http://schemas.microsoft.com/office/drawing/2014/main" id="{00000000-0008-0000-0500-00003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5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94" name="Option Button 54" hidden="1">
              <a:extLst>
                <a:ext uri="{63B3BB69-23CF-44E3-9099-C40C66FF867C}">
                  <a14:compatExt spid="_x0000_s10294"/>
                </a:ext>
                <a:ext uri="{FF2B5EF4-FFF2-40B4-BE49-F238E27FC236}">
                  <a16:creationId xmlns:a16="http://schemas.microsoft.com/office/drawing/2014/main" id="{00000000-0008-0000-05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121</xdr:row>
          <xdr:rowOff>28575</xdr:rowOff>
        </xdr:from>
        <xdr:to>
          <xdr:col>4</xdr:col>
          <xdr:colOff>590550</xdr:colOff>
          <xdr:row>122</xdr:row>
          <xdr:rowOff>57150</xdr:rowOff>
        </xdr:to>
        <xdr:sp macro="" textlink="">
          <xdr:nvSpPr>
            <xdr:cNvPr id="10295" name="Option Button 55" hidden="1">
              <a:extLst>
                <a:ext uri="{63B3BB69-23CF-44E3-9099-C40C66FF867C}">
                  <a14:compatExt spid="_x0000_s10295"/>
                </a:ext>
                <a:ext uri="{FF2B5EF4-FFF2-40B4-BE49-F238E27FC236}">
                  <a16:creationId xmlns:a16="http://schemas.microsoft.com/office/drawing/2014/main" id="{00000000-0008-0000-05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121</xdr:row>
          <xdr:rowOff>9525</xdr:rowOff>
        </xdr:from>
        <xdr:to>
          <xdr:col>8</xdr:col>
          <xdr:colOff>276225</xdr:colOff>
          <xdr:row>122</xdr:row>
          <xdr:rowOff>38100</xdr:rowOff>
        </xdr:to>
        <xdr:sp macro="" textlink="">
          <xdr:nvSpPr>
            <xdr:cNvPr id="10296" name="Option Button 56" hidden="1">
              <a:extLst>
                <a:ext uri="{63B3BB69-23CF-44E3-9099-C40C66FF867C}">
                  <a14:compatExt spid="_x0000_s10296"/>
                </a:ext>
                <a:ext uri="{FF2B5EF4-FFF2-40B4-BE49-F238E27FC236}">
                  <a16:creationId xmlns:a16="http://schemas.microsoft.com/office/drawing/2014/main" id="{00000000-0008-0000-05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352425</xdr:colOff>
          <xdr:row>129</xdr:row>
          <xdr:rowOff>152400</xdr:rowOff>
        </xdr:from>
        <xdr:to>
          <xdr:col>3</xdr:col>
          <xdr:colOff>352425</xdr:colOff>
          <xdr:row>137</xdr:row>
          <xdr:rowOff>38100</xdr:rowOff>
        </xdr:to>
        <xdr:sp macro="" textlink="">
          <xdr:nvSpPr>
            <xdr:cNvPr id="10297" name="Group Box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130</xdr:row>
          <xdr:rowOff>9525</xdr:rowOff>
        </xdr:from>
        <xdr:to>
          <xdr:col>0</xdr:col>
          <xdr:colOff>800100</xdr:colOff>
          <xdr:row>131</xdr:row>
          <xdr:rowOff>38100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0500-00003A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129</xdr:row>
          <xdr:rowOff>133350</xdr:rowOff>
        </xdr:from>
        <xdr:to>
          <xdr:col>5</xdr:col>
          <xdr:colOff>504825</xdr:colOff>
          <xdr:row>136</xdr:row>
          <xdr:rowOff>152400</xdr:rowOff>
        </xdr:to>
        <xdr:sp macro="" textlink="">
          <xdr:nvSpPr>
            <xdr:cNvPr id="10299" name="Group Box 59" hidden="1">
              <a:extLst>
                <a:ext uri="{63B3BB69-23CF-44E3-9099-C40C66FF867C}">
                  <a14:compatExt spid="_x0000_s10299"/>
                </a:ext>
                <a:ext uri="{FF2B5EF4-FFF2-40B4-BE49-F238E27FC236}">
                  <a16:creationId xmlns:a16="http://schemas.microsoft.com/office/drawing/2014/main" id="{00000000-0008-0000-0500-00003B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129</xdr:row>
          <xdr:rowOff>171450</xdr:rowOff>
        </xdr:from>
        <xdr:to>
          <xdr:col>7</xdr:col>
          <xdr:colOff>0</xdr:colOff>
          <xdr:row>136</xdr:row>
          <xdr:rowOff>171450</xdr:rowOff>
        </xdr:to>
        <xdr:sp macro="" textlink="">
          <xdr:nvSpPr>
            <xdr:cNvPr id="10300" name="Group Box 60" hidden="1">
              <a:extLst>
                <a:ext uri="{63B3BB69-23CF-44E3-9099-C40C66FF867C}">
                  <a14:compatExt spid="_x0000_s10300"/>
                </a:ext>
                <a:ext uri="{FF2B5EF4-FFF2-40B4-BE49-F238E27FC236}">
                  <a16:creationId xmlns:a16="http://schemas.microsoft.com/office/drawing/2014/main" id="{00000000-0008-0000-0500-00003C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539750</xdr:colOff>
      <xdr:row>26</xdr:row>
      <xdr:rowOff>50800</xdr:rowOff>
    </xdr:from>
    <xdr:to>
      <xdr:col>7</xdr:col>
      <xdr:colOff>69850</xdr:colOff>
      <xdr:row>31</xdr:row>
      <xdr:rowOff>50800</xdr:rowOff>
    </xdr:to>
    <xdr:sp macro="" textlink="">
      <xdr:nvSpPr>
        <xdr:cNvPr id="9" name="Rectangle: Rounded Corners 8">
          <a:extLst>
            <a:ext uri="{FF2B5EF4-FFF2-40B4-BE49-F238E27FC236}">
              <a16:creationId xmlns:a16="http://schemas.microsoft.com/office/drawing/2014/main" id="{00000000-0008-0000-0500-000009000000}"/>
            </a:ext>
          </a:extLst>
        </xdr:cNvPr>
        <xdr:cNvSpPr/>
      </xdr:nvSpPr>
      <xdr:spPr>
        <a:xfrm>
          <a:off x="2463800" y="5099050"/>
          <a:ext cx="2120900" cy="952500"/>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19050</xdr:colOff>
      <xdr:row>26</xdr:row>
      <xdr:rowOff>44450</xdr:rowOff>
    </xdr:from>
    <xdr:to>
      <xdr:col>3</xdr:col>
      <xdr:colOff>476250</xdr:colOff>
      <xdr:row>31</xdr:row>
      <xdr:rowOff>57150</xdr:rowOff>
    </xdr:to>
    <xdr:sp macro="" textlink="">
      <xdr:nvSpPr>
        <xdr:cNvPr id="10" name="Rectangle: Rounded Corners 9">
          <a:extLst>
            <a:ext uri="{FF2B5EF4-FFF2-40B4-BE49-F238E27FC236}">
              <a16:creationId xmlns:a16="http://schemas.microsoft.com/office/drawing/2014/main" id="{00000000-0008-0000-0500-00000A000000}"/>
            </a:ext>
          </a:extLst>
        </xdr:cNvPr>
        <xdr:cNvSpPr/>
      </xdr:nvSpPr>
      <xdr:spPr>
        <a:xfrm>
          <a:off x="19050" y="5092700"/>
          <a:ext cx="2381250" cy="965200"/>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31750</xdr:colOff>
      <xdr:row>33</xdr:row>
      <xdr:rowOff>25400</xdr:rowOff>
    </xdr:from>
    <xdr:to>
      <xdr:col>9</xdr:col>
      <xdr:colOff>622300</xdr:colOff>
      <xdr:row>37</xdr:row>
      <xdr:rowOff>139700</xdr:rowOff>
    </xdr:to>
    <xdr:sp macro="" textlink="">
      <xdr:nvSpPr>
        <xdr:cNvPr id="11" name="Rectangle: Rounded Corners 10">
          <a:extLst>
            <a:ext uri="{FF2B5EF4-FFF2-40B4-BE49-F238E27FC236}">
              <a16:creationId xmlns:a16="http://schemas.microsoft.com/office/drawing/2014/main" id="{00000000-0008-0000-0500-00000B000000}"/>
            </a:ext>
          </a:extLst>
        </xdr:cNvPr>
        <xdr:cNvSpPr/>
      </xdr:nvSpPr>
      <xdr:spPr>
        <a:xfrm>
          <a:off x="31750" y="6407150"/>
          <a:ext cx="6400800" cy="876300"/>
        </a:xfrm>
        <a:prstGeom prst="roundRect">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25400</xdr:colOff>
      <xdr:row>44</xdr:row>
      <xdr:rowOff>101600</xdr:rowOff>
    </xdr:from>
    <xdr:to>
      <xdr:col>3</xdr:col>
      <xdr:colOff>457200</xdr:colOff>
      <xdr:row>50</xdr:row>
      <xdr:rowOff>44450</xdr:rowOff>
    </xdr:to>
    <xdr:sp macro="" textlink="">
      <xdr:nvSpPr>
        <xdr:cNvPr id="12" name="Rectangle: Rounded Corners 11">
          <a:extLst>
            <a:ext uri="{FF2B5EF4-FFF2-40B4-BE49-F238E27FC236}">
              <a16:creationId xmlns:a16="http://schemas.microsoft.com/office/drawing/2014/main" id="{00000000-0008-0000-0500-00000C000000}"/>
            </a:ext>
          </a:extLst>
        </xdr:cNvPr>
        <xdr:cNvSpPr/>
      </xdr:nvSpPr>
      <xdr:spPr>
        <a:xfrm>
          <a:off x="25400" y="8578850"/>
          <a:ext cx="2355850" cy="1085850"/>
        </a:xfrm>
        <a:prstGeom prst="roundRect">
          <a:avLst>
            <a:gd name="adj" fmla="val 10234"/>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31750</xdr:colOff>
      <xdr:row>52</xdr:row>
      <xdr:rowOff>25400</xdr:rowOff>
    </xdr:from>
    <xdr:to>
      <xdr:col>9</xdr:col>
      <xdr:colOff>603250</xdr:colOff>
      <xdr:row>56</xdr:row>
      <xdr:rowOff>146050</xdr:rowOff>
    </xdr:to>
    <xdr:sp macro="" textlink="">
      <xdr:nvSpPr>
        <xdr:cNvPr id="13" name="Rectangle: Rounded Corners 12">
          <a:extLst>
            <a:ext uri="{FF2B5EF4-FFF2-40B4-BE49-F238E27FC236}">
              <a16:creationId xmlns:a16="http://schemas.microsoft.com/office/drawing/2014/main" id="{00000000-0008-0000-0500-00000D000000}"/>
            </a:ext>
          </a:extLst>
        </xdr:cNvPr>
        <xdr:cNvSpPr/>
      </xdr:nvSpPr>
      <xdr:spPr>
        <a:xfrm>
          <a:off x="31750" y="10026650"/>
          <a:ext cx="6381750" cy="882650"/>
        </a:xfrm>
        <a:prstGeom prst="roundRect">
          <a:avLst>
            <a:gd name="adj" fmla="val 1049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19050</xdr:colOff>
      <xdr:row>58</xdr:row>
      <xdr:rowOff>44450</xdr:rowOff>
    </xdr:from>
    <xdr:to>
      <xdr:col>3</xdr:col>
      <xdr:colOff>444500</xdr:colOff>
      <xdr:row>63</xdr:row>
      <xdr:rowOff>101600</xdr:rowOff>
    </xdr:to>
    <xdr:sp macro="" textlink="">
      <xdr:nvSpPr>
        <xdr:cNvPr id="14" name="Rectangle: Rounded Corners 13">
          <a:extLst>
            <a:ext uri="{FF2B5EF4-FFF2-40B4-BE49-F238E27FC236}">
              <a16:creationId xmlns:a16="http://schemas.microsoft.com/office/drawing/2014/main" id="{00000000-0008-0000-0500-00000E000000}"/>
            </a:ext>
          </a:extLst>
        </xdr:cNvPr>
        <xdr:cNvSpPr/>
      </xdr:nvSpPr>
      <xdr:spPr>
        <a:xfrm>
          <a:off x="19050" y="11188700"/>
          <a:ext cx="2349500" cy="100965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177800</xdr:colOff>
      <xdr:row>44</xdr:row>
      <xdr:rowOff>120650</xdr:rowOff>
    </xdr:from>
    <xdr:to>
      <xdr:col>9</xdr:col>
      <xdr:colOff>628650</xdr:colOff>
      <xdr:row>50</xdr:row>
      <xdr:rowOff>69850</xdr:rowOff>
    </xdr:to>
    <xdr:sp macro="" textlink="">
      <xdr:nvSpPr>
        <xdr:cNvPr id="15" name="Rectangle: Rounded Corners 14">
          <a:extLst>
            <a:ext uri="{FF2B5EF4-FFF2-40B4-BE49-F238E27FC236}">
              <a16:creationId xmlns:a16="http://schemas.microsoft.com/office/drawing/2014/main" id="{00000000-0008-0000-0500-00000F000000}"/>
            </a:ext>
          </a:extLst>
        </xdr:cNvPr>
        <xdr:cNvSpPr/>
      </xdr:nvSpPr>
      <xdr:spPr>
        <a:xfrm>
          <a:off x="4692650" y="8597900"/>
          <a:ext cx="1746250" cy="1092200"/>
        </a:xfrm>
        <a:prstGeom prst="roundRect">
          <a:avLst>
            <a:gd name="adj" fmla="val 9690"/>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495300</xdr:colOff>
      <xdr:row>58</xdr:row>
      <xdr:rowOff>50800</xdr:rowOff>
    </xdr:from>
    <xdr:to>
      <xdr:col>7</xdr:col>
      <xdr:colOff>139700</xdr:colOff>
      <xdr:row>63</xdr:row>
      <xdr:rowOff>127000</xdr:rowOff>
    </xdr:to>
    <xdr:sp macro="" textlink="">
      <xdr:nvSpPr>
        <xdr:cNvPr id="17" name="Rectangle: Rounded Corners 16">
          <a:extLst>
            <a:ext uri="{FF2B5EF4-FFF2-40B4-BE49-F238E27FC236}">
              <a16:creationId xmlns:a16="http://schemas.microsoft.com/office/drawing/2014/main" id="{00000000-0008-0000-0500-000011000000}"/>
            </a:ext>
          </a:extLst>
        </xdr:cNvPr>
        <xdr:cNvSpPr/>
      </xdr:nvSpPr>
      <xdr:spPr>
        <a:xfrm>
          <a:off x="2419350" y="11195050"/>
          <a:ext cx="2235200" cy="1028700"/>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196850</xdr:colOff>
      <xdr:row>58</xdr:row>
      <xdr:rowOff>57150</xdr:rowOff>
    </xdr:from>
    <xdr:to>
      <xdr:col>10</xdr:col>
      <xdr:colOff>0</xdr:colOff>
      <xdr:row>63</xdr:row>
      <xdr:rowOff>146050</xdr:rowOff>
    </xdr:to>
    <xdr:sp macro="" textlink="">
      <xdr:nvSpPr>
        <xdr:cNvPr id="18" name="Rectangle: Rounded Corners 17">
          <a:extLst>
            <a:ext uri="{FF2B5EF4-FFF2-40B4-BE49-F238E27FC236}">
              <a16:creationId xmlns:a16="http://schemas.microsoft.com/office/drawing/2014/main" id="{00000000-0008-0000-0500-000012000000}"/>
            </a:ext>
          </a:extLst>
        </xdr:cNvPr>
        <xdr:cNvSpPr/>
      </xdr:nvSpPr>
      <xdr:spPr>
        <a:xfrm>
          <a:off x="4711700" y="11201400"/>
          <a:ext cx="1746250" cy="104140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7</xdr:col>
          <xdr:colOff>381000</xdr:colOff>
          <xdr:row>129</xdr:row>
          <xdr:rowOff>152400</xdr:rowOff>
        </xdr:from>
        <xdr:to>
          <xdr:col>10</xdr:col>
          <xdr:colOff>142875</xdr:colOff>
          <xdr:row>136</xdr:row>
          <xdr:rowOff>28575</xdr:rowOff>
        </xdr:to>
        <xdr:sp macro="" textlink="">
          <xdr:nvSpPr>
            <xdr:cNvPr id="10301" name="Group Box 61" hidden="1">
              <a:extLst>
                <a:ext uri="{63B3BB69-23CF-44E3-9099-C40C66FF867C}">
                  <a14:compatExt spid="_x0000_s10301"/>
                </a:ext>
                <a:ext uri="{FF2B5EF4-FFF2-40B4-BE49-F238E27FC236}">
                  <a16:creationId xmlns:a16="http://schemas.microsoft.com/office/drawing/2014/main" id="{00000000-0008-0000-0500-00003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130</xdr:row>
          <xdr:rowOff>180975</xdr:rowOff>
        </xdr:from>
        <xdr:to>
          <xdr:col>8</xdr:col>
          <xdr:colOff>266700</xdr:colOff>
          <xdr:row>132</xdr:row>
          <xdr:rowOff>19050</xdr:rowOff>
        </xdr:to>
        <xdr:sp macro="" textlink="">
          <xdr:nvSpPr>
            <xdr:cNvPr id="10302" name="Option 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131</xdr:row>
          <xdr:rowOff>171450</xdr:rowOff>
        </xdr:from>
        <xdr:to>
          <xdr:col>8</xdr:col>
          <xdr:colOff>276225</xdr:colOff>
          <xdr:row>133</xdr:row>
          <xdr:rowOff>9525</xdr:rowOff>
        </xdr:to>
        <xdr:sp macro="" textlink="">
          <xdr:nvSpPr>
            <xdr:cNvPr id="10303" name="Option 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103</xdr:row>
          <xdr:rowOff>76200</xdr:rowOff>
        </xdr:from>
        <xdr:to>
          <xdr:col>10</xdr:col>
          <xdr:colOff>447675</xdr:colOff>
          <xdr:row>109</xdr:row>
          <xdr:rowOff>104775</xdr:rowOff>
        </xdr:to>
        <xdr:sp macro="" textlink="">
          <xdr:nvSpPr>
            <xdr:cNvPr id="10306" name="Group Box 66"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684</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07" name="Option Button 67"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628650</xdr:colOff>
          <xdr:row>104</xdr:row>
          <xdr:rowOff>0</xdr:rowOff>
        </xdr:from>
        <xdr:to>
          <xdr:col>4</xdr:col>
          <xdr:colOff>180975</xdr:colOff>
          <xdr:row>105</xdr:row>
          <xdr:rowOff>28575</xdr:rowOff>
        </xdr:to>
        <xdr:sp macro="" textlink="">
          <xdr:nvSpPr>
            <xdr:cNvPr id="10308" name="Option Button 68"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105</xdr:row>
          <xdr:rowOff>171450</xdr:rowOff>
        </xdr:from>
        <xdr:to>
          <xdr:col>4</xdr:col>
          <xdr:colOff>190500</xdr:colOff>
          <xdr:row>107</xdr:row>
          <xdr:rowOff>9525</xdr:rowOff>
        </xdr:to>
        <xdr:sp macro="" textlink="">
          <xdr:nvSpPr>
            <xdr:cNvPr id="10309" name="Option Button 69"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104</xdr:row>
          <xdr:rowOff>0</xdr:rowOff>
        </xdr:from>
        <xdr:to>
          <xdr:col>7</xdr:col>
          <xdr:colOff>581025</xdr:colOff>
          <xdr:row>105</xdr:row>
          <xdr:rowOff>28575</xdr:rowOff>
        </xdr:to>
        <xdr:sp macro="" textlink="">
          <xdr:nvSpPr>
            <xdr:cNvPr id="10310" name="Option 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105</xdr:row>
          <xdr:rowOff>161925</xdr:rowOff>
        </xdr:from>
        <xdr:to>
          <xdr:col>7</xdr:col>
          <xdr:colOff>590550</xdr:colOff>
          <xdr:row>107</xdr:row>
          <xdr:rowOff>0</xdr:rowOff>
        </xdr:to>
        <xdr:sp macro="" textlink="">
          <xdr:nvSpPr>
            <xdr:cNvPr id="10311" name="Option Button 71" hidden="1">
              <a:extLst>
                <a:ext uri="{63B3BB69-23CF-44E3-9099-C40C66FF867C}">
                  <a14:compatExt spid="_x0000_s10311"/>
                </a:ext>
                <a:ext uri="{FF2B5EF4-FFF2-40B4-BE49-F238E27FC236}">
                  <a16:creationId xmlns:a16="http://schemas.microsoft.com/office/drawing/2014/main" id="{00000000-0008-0000-05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500-00004828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38100</xdr:colOff>
      <xdr:row>65</xdr:row>
      <xdr:rowOff>31750</xdr:rowOff>
    </xdr:from>
    <xdr:to>
      <xdr:col>3</xdr:col>
      <xdr:colOff>444500</xdr:colOff>
      <xdr:row>69</xdr:row>
      <xdr:rowOff>146050</xdr:rowOff>
    </xdr:to>
    <xdr:sp macro="" textlink="">
      <xdr:nvSpPr>
        <xdr:cNvPr id="19" name="Rectangle: Rounded Corners 18">
          <a:extLst>
            <a:ext uri="{FF2B5EF4-FFF2-40B4-BE49-F238E27FC236}">
              <a16:creationId xmlns:a16="http://schemas.microsoft.com/office/drawing/2014/main" id="{00000000-0008-0000-0500-000013000000}"/>
            </a:ext>
          </a:extLst>
        </xdr:cNvPr>
        <xdr:cNvSpPr/>
      </xdr:nvSpPr>
      <xdr:spPr>
        <a:xfrm>
          <a:off x="38100" y="12509500"/>
          <a:ext cx="2330450" cy="889000"/>
        </a:xfrm>
        <a:prstGeom prst="roundRect">
          <a:avLst>
            <a:gd name="adj" fmla="val 10267"/>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514350</xdr:colOff>
      <xdr:row>65</xdr:row>
      <xdr:rowOff>44450</xdr:rowOff>
    </xdr:from>
    <xdr:to>
      <xdr:col>7</xdr:col>
      <xdr:colOff>158750</xdr:colOff>
      <xdr:row>69</xdr:row>
      <xdr:rowOff>146050</xdr:rowOff>
    </xdr:to>
    <xdr:sp macro="" textlink="">
      <xdr:nvSpPr>
        <xdr:cNvPr id="20" name="Rectangle: Rounded Corners 19">
          <a:extLst>
            <a:ext uri="{FF2B5EF4-FFF2-40B4-BE49-F238E27FC236}">
              <a16:creationId xmlns:a16="http://schemas.microsoft.com/office/drawing/2014/main" id="{00000000-0008-0000-0500-000014000000}"/>
            </a:ext>
          </a:extLst>
        </xdr:cNvPr>
        <xdr:cNvSpPr/>
      </xdr:nvSpPr>
      <xdr:spPr>
        <a:xfrm>
          <a:off x="2438400" y="12522200"/>
          <a:ext cx="2235200" cy="876300"/>
        </a:xfrm>
        <a:prstGeom prst="roundRect">
          <a:avLst>
            <a:gd name="adj" fmla="val 11595"/>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25400</xdr:colOff>
      <xdr:row>71</xdr:row>
      <xdr:rowOff>31750</xdr:rowOff>
    </xdr:from>
    <xdr:to>
      <xdr:col>3</xdr:col>
      <xdr:colOff>482600</xdr:colOff>
      <xdr:row>79</xdr:row>
      <xdr:rowOff>107950</xdr:rowOff>
    </xdr:to>
    <xdr:sp macro="" textlink="">
      <xdr:nvSpPr>
        <xdr:cNvPr id="21" name="Rectangle: Rounded Corners 20">
          <a:extLst>
            <a:ext uri="{FF2B5EF4-FFF2-40B4-BE49-F238E27FC236}">
              <a16:creationId xmlns:a16="http://schemas.microsoft.com/office/drawing/2014/main" id="{00000000-0008-0000-0500-000015000000}"/>
            </a:ext>
          </a:extLst>
        </xdr:cNvPr>
        <xdr:cNvSpPr/>
      </xdr:nvSpPr>
      <xdr:spPr>
        <a:xfrm>
          <a:off x="25400" y="13677900"/>
          <a:ext cx="2381250" cy="1657350"/>
        </a:xfrm>
        <a:prstGeom prst="roundRect">
          <a:avLst>
            <a:gd name="adj" fmla="val 10443"/>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558800</xdr:colOff>
      <xdr:row>71</xdr:row>
      <xdr:rowOff>38100</xdr:rowOff>
    </xdr:from>
    <xdr:to>
      <xdr:col>7</xdr:col>
      <xdr:colOff>152400</xdr:colOff>
      <xdr:row>79</xdr:row>
      <xdr:rowOff>107950</xdr:rowOff>
    </xdr:to>
    <xdr:sp macro="" textlink="">
      <xdr:nvSpPr>
        <xdr:cNvPr id="22" name="Rectangle: Rounded Corners 21">
          <a:extLst>
            <a:ext uri="{FF2B5EF4-FFF2-40B4-BE49-F238E27FC236}">
              <a16:creationId xmlns:a16="http://schemas.microsoft.com/office/drawing/2014/main" id="{00000000-0008-0000-0500-000016000000}"/>
            </a:ext>
          </a:extLst>
        </xdr:cNvPr>
        <xdr:cNvSpPr/>
      </xdr:nvSpPr>
      <xdr:spPr>
        <a:xfrm>
          <a:off x="2482850" y="13684250"/>
          <a:ext cx="2184400" cy="1651000"/>
        </a:xfrm>
        <a:prstGeom prst="roundRect">
          <a:avLst>
            <a:gd name="adj" fmla="val 11282"/>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7</xdr:col>
          <xdr:colOff>200025</xdr:colOff>
          <xdr:row>45</xdr:row>
          <xdr:rowOff>9525</xdr:rowOff>
        </xdr:from>
        <xdr:to>
          <xdr:col>7</xdr:col>
          <xdr:colOff>447675</xdr:colOff>
          <xdr:row>46</xdr:row>
          <xdr:rowOff>38100</xdr:rowOff>
        </xdr:to>
        <xdr:sp macro="" textlink="">
          <xdr:nvSpPr>
            <xdr:cNvPr id="10314" name="Option Button 74"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222250</xdr:colOff>
      <xdr:row>71</xdr:row>
      <xdr:rowOff>57150</xdr:rowOff>
    </xdr:from>
    <xdr:to>
      <xdr:col>9</xdr:col>
      <xdr:colOff>628650</xdr:colOff>
      <xdr:row>79</xdr:row>
      <xdr:rowOff>88900</xdr:rowOff>
    </xdr:to>
    <xdr:sp macro="" textlink="">
      <xdr:nvSpPr>
        <xdr:cNvPr id="23" name="Rectangle: Rounded Corners 22">
          <a:extLst>
            <a:ext uri="{FF2B5EF4-FFF2-40B4-BE49-F238E27FC236}">
              <a16:creationId xmlns:a16="http://schemas.microsoft.com/office/drawing/2014/main" id="{00000000-0008-0000-0500-000017000000}"/>
            </a:ext>
          </a:extLst>
        </xdr:cNvPr>
        <xdr:cNvSpPr/>
      </xdr:nvSpPr>
      <xdr:spPr>
        <a:xfrm>
          <a:off x="4737100" y="13703300"/>
          <a:ext cx="1701800" cy="1612900"/>
        </a:xfrm>
        <a:prstGeom prst="roundRect">
          <a:avLst>
            <a:gd name="adj" fmla="val 11549"/>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25400</xdr:colOff>
      <xdr:row>81</xdr:row>
      <xdr:rowOff>31750</xdr:rowOff>
    </xdr:from>
    <xdr:to>
      <xdr:col>3</xdr:col>
      <xdr:colOff>469900</xdr:colOff>
      <xdr:row>86</xdr:row>
      <xdr:rowOff>76200</xdr:rowOff>
    </xdr:to>
    <xdr:sp macro="" textlink="">
      <xdr:nvSpPr>
        <xdr:cNvPr id="24" name="Rectangle: Rounded Corners 23">
          <a:extLst>
            <a:ext uri="{FF2B5EF4-FFF2-40B4-BE49-F238E27FC236}">
              <a16:creationId xmlns:a16="http://schemas.microsoft.com/office/drawing/2014/main" id="{00000000-0008-0000-0500-000018000000}"/>
            </a:ext>
          </a:extLst>
        </xdr:cNvPr>
        <xdr:cNvSpPr/>
      </xdr:nvSpPr>
      <xdr:spPr>
        <a:xfrm>
          <a:off x="25400" y="15652750"/>
          <a:ext cx="2368550" cy="102235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514350</xdr:colOff>
      <xdr:row>81</xdr:row>
      <xdr:rowOff>95250</xdr:rowOff>
    </xdr:from>
    <xdr:to>
      <xdr:col>9</xdr:col>
      <xdr:colOff>641350</xdr:colOff>
      <xdr:row>86</xdr:row>
      <xdr:rowOff>57150</xdr:rowOff>
    </xdr:to>
    <xdr:sp macro="" textlink="">
      <xdr:nvSpPr>
        <xdr:cNvPr id="26" name="Rectangle: Rounded Corners 25">
          <a:extLst>
            <a:ext uri="{FF2B5EF4-FFF2-40B4-BE49-F238E27FC236}">
              <a16:creationId xmlns:a16="http://schemas.microsoft.com/office/drawing/2014/main" id="{00000000-0008-0000-0500-00001A000000}"/>
            </a:ext>
          </a:extLst>
        </xdr:cNvPr>
        <xdr:cNvSpPr/>
      </xdr:nvSpPr>
      <xdr:spPr>
        <a:xfrm>
          <a:off x="2438400" y="15716250"/>
          <a:ext cx="4013200" cy="939800"/>
        </a:xfrm>
        <a:prstGeom prst="roundRect">
          <a:avLst>
            <a:gd name="adj" fmla="val 8559"/>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16" name="Option Button 76"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31750</xdr:colOff>
      <xdr:row>88</xdr:row>
      <xdr:rowOff>152400</xdr:rowOff>
    </xdr:from>
    <xdr:to>
      <xdr:col>3</xdr:col>
      <xdr:colOff>463550</xdr:colOff>
      <xdr:row>101</xdr:row>
      <xdr:rowOff>50800</xdr:rowOff>
    </xdr:to>
    <xdr:sp macro="" textlink="">
      <xdr:nvSpPr>
        <xdr:cNvPr id="27" name="Rectangle: Rounded Corners 26">
          <a:extLst>
            <a:ext uri="{FF2B5EF4-FFF2-40B4-BE49-F238E27FC236}">
              <a16:creationId xmlns:a16="http://schemas.microsoft.com/office/drawing/2014/main" id="{00000000-0008-0000-0500-00001B000000}"/>
            </a:ext>
          </a:extLst>
        </xdr:cNvPr>
        <xdr:cNvSpPr/>
      </xdr:nvSpPr>
      <xdr:spPr>
        <a:xfrm>
          <a:off x="31750" y="17145000"/>
          <a:ext cx="2355850" cy="2400300"/>
        </a:xfrm>
        <a:prstGeom prst="roundRect">
          <a:avLst>
            <a:gd name="adj" fmla="val 7772"/>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533400</xdr:colOff>
      <xdr:row>88</xdr:row>
      <xdr:rowOff>107950</xdr:rowOff>
    </xdr:from>
    <xdr:to>
      <xdr:col>7</xdr:col>
      <xdr:colOff>273050</xdr:colOff>
      <xdr:row>101</xdr:row>
      <xdr:rowOff>12700</xdr:rowOff>
    </xdr:to>
    <xdr:sp macro="" textlink="">
      <xdr:nvSpPr>
        <xdr:cNvPr id="28" name="Rectangle: Rounded Corners 27">
          <a:extLst>
            <a:ext uri="{FF2B5EF4-FFF2-40B4-BE49-F238E27FC236}">
              <a16:creationId xmlns:a16="http://schemas.microsoft.com/office/drawing/2014/main" id="{00000000-0008-0000-0500-00001C000000}"/>
            </a:ext>
          </a:extLst>
        </xdr:cNvPr>
        <xdr:cNvSpPr/>
      </xdr:nvSpPr>
      <xdr:spPr>
        <a:xfrm>
          <a:off x="2457450" y="17100550"/>
          <a:ext cx="2330450" cy="2406650"/>
        </a:xfrm>
        <a:prstGeom prst="roundRect">
          <a:avLst>
            <a:gd name="adj" fmla="val 8220"/>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311150</xdr:colOff>
      <xdr:row>88</xdr:row>
      <xdr:rowOff>101600</xdr:rowOff>
    </xdr:from>
    <xdr:to>
      <xdr:col>10</xdr:col>
      <xdr:colOff>12700</xdr:colOff>
      <xdr:row>101</xdr:row>
      <xdr:rowOff>38100</xdr:rowOff>
    </xdr:to>
    <xdr:sp macro="" textlink="">
      <xdr:nvSpPr>
        <xdr:cNvPr id="29" name="Rectangle: Rounded Corners 28">
          <a:extLst>
            <a:ext uri="{FF2B5EF4-FFF2-40B4-BE49-F238E27FC236}">
              <a16:creationId xmlns:a16="http://schemas.microsoft.com/office/drawing/2014/main" id="{00000000-0008-0000-0500-00001D000000}"/>
            </a:ext>
          </a:extLst>
        </xdr:cNvPr>
        <xdr:cNvSpPr/>
      </xdr:nvSpPr>
      <xdr:spPr>
        <a:xfrm>
          <a:off x="4826000" y="17094200"/>
          <a:ext cx="1644650" cy="2438400"/>
        </a:xfrm>
        <a:prstGeom prst="roundRect">
          <a:avLst>
            <a:gd name="adj" fmla="val 9331"/>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7</xdr:col>
          <xdr:colOff>342900</xdr:colOff>
          <xdr:row>91</xdr:row>
          <xdr:rowOff>0</xdr:rowOff>
        </xdr:from>
        <xdr:to>
          <xdr:col>7</xdr:col>
          <xdr:colOff>542925</xdr:colOff>
          <xdr:row>92</xdr:row>
          <xdr:rowOff>28575</xdr:rowOff>
        </xdr:to>
        <xdr:sp macro="" textlink="">
          <xdr:nvSpPr>
            <xdr:cNvPr id="10317" name="Option 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44450</xdr:colOff>
      <xdr:row>103</xdr:row>
      <xdr:rowOff>127000</xdr:rowOff>
    </xdr:from>
    <xdr:to>
      <xdr:col>3</xdr:col>
      <xdr:colOff>450850</xdr:colOff>
      <xdr:row>109</xdr:row>
      <xdr:rowOff>76200</xdr:rowOff>
    </xdr:to>
    <xdr:sp macro="" textlink="">
      <xdr:nvSpPr>
        <xdr:cNvPr id="30" name="Rectangle: Rounded Corners 29">
          <a:extLst>
            <a:ext uri="{FF2B5EF4-FFF2-40B4-BE49-F238E27FC236}">
              <a16:creationId xmlns:a16="http://schemas.microsoft.com/office/drawing/2014/main" id="{00000000-0008-0000-0500-00001E000000}"/>
            </a:ext>
          </a:extLst>
        </xdr:cNvPr>
        <xdr:cNvSpPr/>
      </xdr:nvSpPr>
      <xdr:spPr>
        <a:xfrm>
          <a:off x="44450" y="20015200"/>
          <a:ext cx="2330450" cy="1092200"/>
        </a:xfrm>
        <a:prstGeom prst="roundRect">
          <a:avLst>
            <a:gd name="adj" fmla="val 10853"/>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558800</xdr:colOff>
      <xdr:row>103</xdr:row>
      <xdr:rowOff>127000</xdr:rowOff>
    </xdr:from>
    <xdr:to>
      <xdr:col>7</xdr:col>
      <xdr:colOff>184150</xdr:colOff>
      <xdr:row>109</xdr:row>
      <xdr:rowOff>88900</xdr:rowOff>
    </xdr:to>
    <xdr:sp macro="" textlink="">
      <xdr:nvSpPr>
        <xdr:cNvPr id="31" name="Rectangle: Rounded Corners 30">
          <a:extLst>
            <a:ext uri="{FF2B5EF4-FFF2-40B4-BE49-F238E27FC236}">
              <a16:creationId xmlns:a16="http://schemas.microsoft.com/office/drawing/2014/main" id="{00000000-0008-0000-0500-00001F000000}"/>
            </a:ext>
          </a:extLst>
        </xdr:cNvPr>
        <xdr:cNvSpPr/>
      </xdr:nvSpPr>
      <xdr:spPr>
        <a:xfrm>
          <a:off x="2482850" y="20015200"/>
          <a:ext cx="2216150" cy="1104900"/>
        </a:xfrm>
        <a:prstGeom prst="roundRect">
          <a:avLst>
            <a:gd name="adj" fmla="val 13219"/>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266700</xdr:colOff>
      <xdr:row>103</xdr:row>
      <xdr:rowOff>133350</xdr:rowOff>
    </xdr:from>
    <xdr:to>
      <xdr:col>9</xdr:col>
      <xdr:colOff>622300</xdr:colOff>
      <xdr:row>109</xdr:row>
      <xdr:rowOff>88900</xdr:rowOff>
    </xdr:to>
    <xdr:sp macro="" textlink="">
      <xdr:nvSpPr>
        <xdr:cNvPr id="32" name="Rectangle: Rounded Corners 31">
          <a:extLst>
            <a:ext uri="{FF2B5EF4-FFF2-40B4-BE49-F238E27FC236}">
              <a16:creationId xmlns:a16="http://schemas.microsoft.com/office/drawing/2014/main" id="{00000000-0008-0000-0500-000020000000}"/>
            </a:ext>
          </a:extLst>
        </xdr:cNvPr>
        <xdr:cNvSpPr/>
      </xdr:nvSpPr>
      <xdr:spPr>
        <a:xfrm>
          <a:off x="4781550" y="20021550"/>
          <a:ext cx="1651000" cy="1098550"/>
        </a:xfrm>
        <a:prstGeom prst="roundRect">
          <a:avLst>
            <a:gd name="adj" fmla="val 13199"/>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31750</xdr:colOff>
      <xdr:row>113</xdr:row>
      <xdr:rowOff>31750</xdr:rowOff>
    </xdr:from>
    <xdr:to>
      <xdr:col>10</xdr:col>
      <xdr:colOff>19050</xdr:colOff>
      <xdr:row>119</xdr:row>
      <xdr:rowOff>76200</xdr:rowOff>
    </xdr:to>
    <xdr:sp macro="" textlink="">
      <xdr:nvSpPr>
        <xdr:cNvPr id="33" name="Rectangle: Rounded Corners 32">
          <a:extLst>
            <a:ext uri="{FF2B5EF4-FFF2-40B4-BE49-F238E27FC236}">
              <a16:creationId xmlns:a16="http://schemas.microsoft.com/office/drawing/2014/main" id="{00000000-0008-0000-0500-000021000000}"/>
            </a:ext>
          </a:extLst>
        </xdr:cNvPr>
        <xdr:cNvSpPr/>
      </xdr:nvSpPr>
      <xdr:spPr>
        <a:xfrm>
          <a:off x="31750" y="21812250"/>
          <a:ext cx="6445250" cy="1200150"/>
        </a:xfrm>
        <a:prstGeom prst="roundRect">
          <a:avLst>
            <a:gd name="adj" fmla="val 1137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25401</xdr:colOff>
      <xdr:row>119</xdr:row>
      <xdr:rowOff>127000</xdr:rowOff>
    </xdr:from>
    <xdr:to>
      <xdr:col>10</xdr:col>
      <xdr:colOff>12701</xdr:colOff>
      <xdr:row>127</xdr:row>
      <xdr:rowOff>38100</xdr:rowOff>
    </xdr:to>
    <xdr:sp macro="" textlink="">
      <xdr:nvSpPr>
        <xdr:cNvPr id="34" name="Rectangle: Rounded Corners 33">
          <a:extLst>
            <a:ext uri="{FF2B5EF4-FFF2-40B4-BE49-F238E27FC236}">
              <a16:creationId xmlns:a16="http://schemas.microsoft.com/office/drawing/2014/main" id="{00000000-0008-0000-0500-000022000000}"/>
            </a:ext>
          </a:extLst>
        </xdr:cNvPr>
        <xdr:cNvSpPr/>
      </xdr:nvSpPr>
      <xdr:spPr>
        <a:xfrm>
          <a:off x="25401" y="23063200"/>
          <a:ext cx="6445250" cy="1447800"/>
        </a:xfrm>
        <a:prstGeom prst="roundRect">
          <a:avLst>
            <a:gd name="adj" fmla="val 11404"/>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31750</xdr:colOff>
      <xdr:row>127</xdr:row>
      <xdr:rowOff>107950</xdr:rowOff>
    </xdr:from>
    <xdr:to>
      <xdr:col>10</xdr:col>
      <xdr:colOff>50800</xdr:colOff>
      <xdr:row>136</xdr:row>
      <xdr:rowOff>82550</xdr:rowOff>
    </xdr:to>
    <xdr:sp macro="" textlink="">
      <xdr:nvSpPr>
        <xdr:cNvPr id="35" name="Rectangle: Rounded Corners 34">
          <a:extLst>
            <a:ext uri="{FF2B5EF4-FFF2-40B4-BE49-F238E27FC236}">
              <a16:creationId xmlns:a16="http://schemas.microsoft.com/office/drawing/2014/main" id="{00000000-0008-0000-0500-000023000000}"/>
            </a:ext>
          </a:extLst>
        </xdr:cNvPr>
        <xdr:cNvSpPr/>
      </xdr:nvSpPr>
      <xdr:spPr>
        <a:xfrm>
          <a:off x="31750" y="24580850"/>
          <a:ext cx="6477000" cy="1714500"/>
        </a:xfrm>
        <a:prstGeom prst="roundRect">
          <a:avLst>
            <a:gd name="adj" fmla="val 1037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19" name="Option Button 79"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131</xdr:row>
          <xdr:rowOff>171450</xdr:rowOff>
        </xdr:from>
        <xdr:to>
          <xdr:col>5</xdr:col>
          <xdr:colOff>47625</xdr:colOff>
          <xdr:row>133</xdr:row>
          <xdr:rowOff>9525</xdr:rowOff>
        </xdr:to>
        <xdr:sp macro="" textlink="">
          <xdr:nvSpPr>
            <xdr:cNvPr id="10320" name="Option Button 80"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131</xdr:row>
          <xdr:rowOff>0</xdr:rowOff>
        </xdr:from>
        <xdr:to>
          <xdr:col>5</xdr:col>
          <xdr:colOff>38100</xdr:colOff>
          <xdr:row>132</xdr:row>
          <xdr:rowOff>28575</xdr:rowOff>
        </xdr:to>
        <xdr:sp macro="" textlink="">
          <xdr:nvSpPr>
            <xdr:cNvPr id="10322" name="Option 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129</xdr:row>
          <xdr:rowOff>180975</xdr:rowOff>
        </xdr:from>
        <xdr:to>
          <xdr:col>8</xdr:col>
          <xdr:colOff>266700</xdr:colOff>
          <xdr:row>131</xdr:row>
          <xdr:rowOff>19050</xdr:rowOff>
        </xdr:to>
        <xdr:sp macro="" textlink="">
          <xdr:nvSpPr>
            <xdr:cNvPr id="10323" name="Option 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65</xdr:row>
          <xdr:rowOff>161925</xdr:rowOff>
        </xdr:from>
        <xdr:to>
          <xdr:col>9</xdr:col>
          <xdr:colOff>552450</xdr:colOff>
          <xdr:row>70</xdr:row>
          <xdr:rowOff>19050</xdr:rowOff>
        </xdr:to>
        <xdr:sp macro="" textlink="">
          <xdr:nvSpPr>
            <xdr:cNvPr id="10324" name="Group Box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753</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25" name="Option 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90</xdr:row>
          <xdr:rowOff>0</xdr:rowOff>
        </xdr:from>
        <xdr:to>
          <xdr:col>0</xdr:col>
          <xdr:colOff>809625</xdr:colOff>
          <xdr:row>91</xdr:row>
          <xdr:rowOff>28575</xdr:rowOff>
        </xdr:to>
        <xdr:sp macro="" textlink="">
          <xdr:nvSpPr>
            <xdr:cNvPr id="10326" name="Option 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90</xdr:row>
          <xdr:rowOff>180975</xdr:rowOff>
        </xdr:from>
        <xdr:to>
          <xdr:col>0</xdr:col>
          <xdr:colOff>809625</xdr:colOff>
          <xdr:row>92</xdr:row>
          <xdr:rowOff>19050</xdr:rowOff>
        </xdr:to>
        <xdr:sp macro="" textlink="">
          <xdr:nvSpPr>
            <xdr:cNvPr id="10327" name="Option Button 87" hidden="1">
              <a:extLst>
                <a:ext uri="{63B3BB69-23CF-44E3-9099-C40C66FF867C}">
                  <a14:compatExt spid="_x0000_s10327"/>
                </a:ext>
                <a:ext uri="{FF2B5EF4-FFF2-40B4-BE49-F238E27FC236}">
                  <a16:creationId xmlns:a16="http://schemas.microsoft.com/office/drawing/2014/main" id="{00000000-0008-0000-0500-000057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91</xdr:row>
          <xdr:rowOff>171450</xdr:rowOff>
        </xdr:from>
        <xdr:to>
          <xdr:col>0</xdr:col>
          <xdr:colOff>809625</xdr:colOff>
          <xdr:row>93</xdr:row>
          <xdr:rowOff>9525</xdr:rowOff>
        </xdr:to>
        <xdr:sp macro="" textlink="">
          <xdr:nvSpPr>
            <xdr:cNvPr id="10328" name="Option Button 88" hidden="1">
              <a:extLst>
                <a:ext uri="{63B3BB69-23CF-44E3-9099-C40C66FF867C}">
                  <a14:compatExt spid="_x0000_s10328"/>
                </a:ext>
                <a:ext uri="{FF2B5EF4-FFF2-40B4-BE49-F238E27FC236}">
                  <a16:creationId xmlns:a16="http://schemas.microsoft.com/office/drawing/2014/main" id="{00000000-0008-0000-0500-000058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91</xdr:row>
          <xdr:rowOff>180975</xdr:rowOff>
        </xdr:from>
        <xdr:to>
          <xdr:col>4</xdr:col>
          <xdr:colOff>171450</xdr:colOff>
          <xdr:row>93</xdr:row>
          <xdr:rowOff>9525</xdr:rowOff>
        </xdr:to>
        <xdr:sp macro="" textlink="">
          <xdr:nvSpPr>
            <xdr:cNvPr id="10329" name="Option Button 89" hidden="1">
              <a:extLst>
                <a:ext uri="{63B3BB69-23CF-44E3-9099-C40C66FF867C}">
                  <a14:compatExt spid="_x0000_s10329"/>
                </a:ext>
                <a:ext uri="{FF2B5EF4-FFF2-40B4-BE49-F238E27FC236}">
                  <a16:creationId xmlns:a16="http://schemas.microsoft.com/office/drawing/2014/main" id="{00000000-0008-0000-05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91</xdr:row>
          <xdr:rowOff>180975</xdr:rowOff>
        </xdr:from>
        <xdr:to>
          <xdr:col>4</xdr:col>
          <xdr:colOff>171450</xdr:colOff>
          <xdr:row>93</xdr:row>
          <xdr:rowOff>9525</xdr:rowOff>
        </xdr:to>
        <xdr:sp macro="" textlink="">
          <xdr:nvSpPr>
            <xdr:cNvPr id="10330" name="Option Button 90" hidden="1">
              <a:extLst>
                <a:ext uri="{63B3BB69-23CF-44E3-9099-C40C66FF867C}">
                  <a14:compatExt spid="_x0000_s10330"/>
                </a:ext>
                <a:ext uri="{FF2B5EF4-FFF2-40B4-BE49-F238E27FC236}">
                  <a16:creationId xmlns:a16="http://schemas.microsoft.com/office/drawing/2014/main" id="{00000000-0008-0000-0500-00005A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92</xdr:row>
          <xdr:rowOff>180975</xdr:rowOff>
        </xdr:from>
        <xdr:to>
          <xdr:col>4</xdr:col>
          <xdr:colOff>171450</xdr:colOff>
          <xdr:row>94</xdr:row>
          <xdr:rowOff>9525</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5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92</xdr:row>
          <xdr:rowOff>180975</xdr:rowOff>
        </xdr:from>
        <xdr:to>
          <xdr:col>4</xdr:col>
          <xdr:colOff>171450</xdr:colOff>
          <xdr:row>94</xdr:row>
          <xdr:rowOff>9525</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500-00005C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93</xdr:row>
          <xdr:rowOff>180975</xdr:rowOff>
        </xdr:from>
        <xdr:to>
          <xdr:col>4</xdr:col>
          <xdr:colOff>171450</xdr:colOff>
          <xdr:row>95</xdr:row>
          <xdr:rowOff>9525</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5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93</xdr:row>
          <xdr:rowOff>180975</xdr:rowOff>
        </xdr:from>
        <xdr:to>
          <xdr:col>4</xdr:col>
          <xdr:colOff>171450</xdr:colOff>
          <xdr:row>95</xdr:row>
          <xdr:rowOff>9525</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500-00005E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94</xdr:row>
          <xdr:rowOff>180975</xdr:rowOff>
        </xdr:from>
        <xdr:to>
          <xdr:col>4</xdr:col>
          <xdr:colOff>171450</xdr:colOff>
          <xdr:row>96</xdr:row>
          <xdr:rowOff>9525</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5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94</xdr:row>
          <xdr:rowOff>180975</xdr:rowOff>
        </xdr:from>
        <xdr:to>
          <xdr:col>4</xdr:col>
          <xdr:colOff>171450</xdr:colOff>
          <xdr:row>96</xdr:row>
          <xdr:rowOff>9525</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5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89</xdr:row>
          <xdr:rowOff>9525</xdr:rowOff>
        </xdr:from>
        <xdr:to>
          <xdr:col>0</xdr:col>
          <xdr:colOff>809625</xdr:colOff>
          <xdr:row>90</xdr:row>
          <xdr:rowOff>38100</xdr:rowOff>
        </xdr:to>
        <xdr:sp macro="" textlink="">
          <xdr:nvSpPr>
            <xdr:cNvPr id="10337" name="Option Button 97" hidden="1">
              <a:extLst>
                <a:ext uri="{63B3BB69-23CF-44E3-9099-C40C66FF867C}">
                  <a14:compatExt spid="_x0000_s10337"/>
                </a:ext>
                <a:ext uri="{FF2B5EF4-FFF2-40B4-BE49-F238E27FC236}">
                  <a16:creationId xmlns:a16="http://schemas.microsoft.com/office/drawing/2014/main" id="{00000000-0008-0000-0500-00006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390525</xdr:colOff>
          <xdr:row>88</xdr:row>
          <xdr:rowOff>66675</xdr:rowOff>
        </xdr:from>
        <xdr:to>
          <xdr:col>11</xdr:col>
          <xdr:colOff>38100</xdr:colOff>
          <xdr:row>102</xdr:row>
          <xdr:rowOff>114300</xdr:rowOff>
        </xdr:to>
        <xdr:sp macro="" textlink="">
          <xdr:nvSpPr>
            <xdr:cNvPr id="10338" name="Group Box 98" hidden="1">
              <a:extLst>
                <a:ext uri="{63B3BB69-23CF-44E3-9099-C40C66FF867C}">
                  <a14:compatExt spid="_x0000_s10338"/>
                </a:ext>
                <a:ext uri="{FF2B5EF4-FFF2-40B4-BE49-F238E27FC236}">
                  <a16:creationId xmlns:a16="http://schemas.microsoft.com/office/drawing/2014/main" id="{00000000-0008-0000-0500-00006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777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94</xdr:row>
          <xdr:rowOff>180975</xdr:rowOff>
        </xdr:from>
        <xdr:to>
          <xdr:col>4</xdr:col>
          <xdr:colOff>171450</xdr:colOff>
          <xdr:row>96</xdr:row>
          <xdr:rowOff>9525</xdr:rowOff>
        </xdr:to>
        <xdr:sp macro="" textlink="">
          <xdr:nvSpPr>
            <xdr:cNvPr id="10339" name="Option Button 99" hidden="1">
              <a:extLst>
                <a:ext uri="{63B3BB69-23CF-44E3-9099-C40C66FF867C}">
                  <a14:compatExt spid="_x0000_s10339"/>
                </a:ext>
                <a:ext uri="{FF2B5EF4-FFF2-40B4-BE49-F238E27FC236}">
                  <a16:creationId xmlns:a16="http://schemas.microsoft.com/office/drawing/2014/main" id="{00000000-0008-0000-0500-00006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94</xdr:row>
          <xdr:rowOff>180975</xdr:rowOff>
        </xdr:from>
        <xdr:to>
          <xdr:col>4</xdr:col>
          <xdr:colOff>171450</xdr:colOff>
          <xdr:row>96</xdr:row>
          <xdr:rowOff>9525</xdr:rowOff>
        </xdr:to>
        <xdr:sp macro="" textlink="">
          <xdr:nvSpPr>
            <xdr:cNvPr id="10340" name="Option Button 100" hidden="1">
              <a:extLst>
                <a:ext uri="{63B3BB69-23CF-44E3-9099-C40C66FF867C}">
                  <a14:compatExt spid="_x0000_s10340"/>
                </a:ext>
                <a:ext uri="{FF2B5EF4-FFF2-40B4-BE49-F238E27FC236}">
                  <a16:creationId xmlns:a16="http://schemas.microsoft.com/office/drawing/2014/main" id="{00000000-0008-0000-0500-000064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95</xdr:row>
          <xdr:rowOff>180975</xdr:rowOff>
        </xdr:from>
        <xdr:to>
          <xdr:col>4</xdr:col>
          <xdr:colOff>171450</xdr:colOff>
          <xdr:row>97</xdr:row>
          <xdr:rowOff>9525</xdr:rowOff>
        </xdr:to>
        <xdr:sp macro="" textlink="">
          <xdr:nvSpPr>
            <xdr:cNvPr id="10341" name="Option Button 101" hidden="1">
              <a:extLst>
                <a:ext uri="{63B3BB69-23CF-44E3-9099-C40C66FF867C}">
                  <a14:compatExt spid="_x0000_s10341"/>
                </a:ext>
                <a:ext uri="{FF2B5EF4-FFF2-40B4-BE49-F238E27FC236}">
                  <a16:creationId xmlns:a16="http://schemas.microsoft.com/office/drawing/2014/main" id="{00000000-0008-0000-0500-00006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95</xdr:row>
          <xdr:rowOff>180975</xdr:rowOff>
        </xdr:from>
        <xdr:to>
          <xdr:col>4</xdr:col>
          <xdr:colOff>171450</xdr:colOff>
          <xdr:row>97</xdr:row>
          <xdr:rowOff>9525</xdr:rowOff>
        </xdr:to>
        <xdr:sp macro="" textlink="">
          <xdr:nvSpPr>
            <xdr:cNvPr id="10342" name="Option Button 102" hidden="1">
              <a:extLst>
                <a:ext uri="{63B3BB69-23CF-44E3-9099-C40C66FF867C}">
                  <a14:compatExt spid="_x0000_s10342"/>
                </a:ext>
                <a:ext uri="{FF2B5EF4-FFF2-40B4-BE49-F238E27FC236}">
                  <a16:creationId xmlns:a16="http://schemas.microsoft.com/office/drawing/2014/main" id="{00000000-0008-0000-0500-00006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95</xdr:row>
          <xdr:rowOff>180975</xdr:rowOff>
        </xdr:from>
        <xdr:to>
          <xdr:col>4</xdr:col>
          <xdr:colOff>171450</xdr:colOff>
          <xdr:row>97</xdr:row>
          <xdr:rowOff>9525</xdr:rowOff>
        </xdr:to>
        <xdr:sp macro="" textlink="">
          <xdr:nvSpPr>
            <xdr:cNvPr id="10343" name="Option Button 103" hidden="1">
              <a:extLst>
                <a:ext uri="{63B3BB69-23CF-44E3-9099-C40C66FF867C}">
                  <a14:compatExt spid="_x0000_s10343"/>
                </a:ext>
                <a:ext uri="{FF2B5EF4-FFF2-40B4-BE49-F238E27FC236}">
                  <a16:creationId xmlns:a16="http://schemas.microsoft.com/office/drawing/2014/main" id="{00000000-0008-0000-0500-00006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95</xdr:row>
          <xdr:rowOff>180975</xdr:rowOff>
        </xdr:from>
        <xdr:to>
          <xdr:col>4</xdr:col>
          <xdr:colOff>171450</xdr:colOff>
          <xdr:row>97</xdr:row>
          <xdr:rowOff>9525</xdr:rowOff>
        </xdr:to>
        <xdr:sp macro="" textlink="">
          <xdr:nvSpPr>
            <xdr:cNvPr id="10344" name="Option Button 104" hidden="1">
              <a:extLst>
                <a:ext uri="{63B3BB69-23CF-44E3-9099-C40C66FF867C}">
                  <a14:compatExt spid="_x0000_s10344"/>
                </a:ext>
                <a:ext uri="{FF2B5EF4-FFF2-40B4-BE49-F238E27FC236}">
                  <a16:creationId xmlns:a16="http://schemas.microsoft.com/office/drawing/2014/main" id="{00000000-0008-0000-0500-000068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96</xdr:row>
          <xdr:rowOff>180975</xdr:rowOff>
        </xdr:from>
        <xdr:to>
          <xdr:col>4</xdr:col>
          <xdr:colOff>171450</xdr:colOff>
          <xdr:row>98</xdr:row>
          <xdr:rowOff>9525</xdr:rowOff>
        </xdr:to>
        <xdr:sp macro="" textlink="">
          <xdr:nvSpPr>
            <xdr:cNvPr id="10345" name="Option Button 105" hidden="1">
              <a:extLst>
                <a:ext uri="{63B3BB69-23CF-44E3-9099-C40C66FF867C}">
                  <a14:compatExt spid="_x0000_s10345"/>
                </a:ext>
                <a:ext uri="{FF2B5EF4-FFF2-40B4-BE49-F238E27FC236}">
                  <a16:creationId xmlns:a16="http://schemas.microsoft.com/office/drawing/2014/main" id="{00000000-0008-0000-0500-00006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96</xdr:row>
          <xdr:rowOff>180975</xdr:rowOff>
        </xdr:from>
        <xdr:to>
          <xdr:col>4</xdr:col>
          <xdr:colOff>171450</xdr:colOff>
          <xdr:row>98</xdr:row>
          <xdr:rowOff>9525</xdr:rowOff>
        </xdr:to>
        <xdr:sp macro="" textlink="">
          <xdr:nvSpPr>
            <xdr:cNvPr id="10346" name="Option Button 106" hidden="1">
              <a:extLst>
                <a:ext uri="{63B3BB69-23CF-44E3-9099-C40C66FF867C}">
                  <a14:compatExt spid="_x0000_s10346"/>
                </a:ext>
                <a:ext uri="{FF2B5EF4-FFF2-40B4-BE49-F238E27FC236}">
                  <a16:creationId xmlns:a16="http://schemas.microsoft.com/office/drawing/2014/main" id="{00000000-0008-0000-05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96</xdr:row>
          <xdr:rowOff>180975</xdr:rowOff>
        </xdr:from>
        <xdr:to>
          <xdr:col>4</xdr:col>
          <xdr:colOff>171450</xdr:colOff>
          <xdr:row>98</xdr:row>
          <xdr:rowOff>9525</xdr:rowOff>
        </xdr:to>
        <xdr:sp macro="" textlink="">
          <xdr:nvSpPr>
            <xdr:cNvPr id="10347" name="Option Button 107" hidden="1">
              <a:extLst>
                <a:ext uri="{63B3BB69-23CF-44E3-9099-C40C66FF867C}">
                  <a14:compatExt spid="_x0000_s10347"/>
                </a:ext>
                <a:ext uri="{FF2B5EF4-FFF2-40B4-BE49-F238E27FC236}">
                  <a16:creationId xmlns:a16="http://schemas.microsoft.com/office/drawing/2014/main" id="{00000000-0008-0000-05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96</xdr:row>
          <xdr:rowOff>180975</xdr:rowOff>
        </xdr:from>
        <xdr:to>
          <xdr:col>4</xdr:col>
          <xdr:colOff>171450</xdr:colOff>
          <xdr:row>98</xdr:row>
          <xdr:rowOff>9525</xdr:rowOff>
        </xdr:to>
        <xdr:sp macro="" textlink="">
          <xdr:nvSpPr>
            <xdr:cNvPr id="10348" name="Option Button 108" hidden="1">
              <a:extLst>
                <a:ext uri="{63B3BB69-23CF-44E3-9099-C40C66FF867C}">
                  <a14:compatExt spid="_x0000_s10348"/>
                </a:ext>
                <a:ext uri="{FF2B5EF4-FFF2-40B4-BE49-F238E27FC236}">
                  <a16:creationId xmlns:a16="http://schemas.microsoft.com/office/drawing/2014/main" id="{00000000-0008-0000-0500-00006C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97</xdr:row>
          <xdr:rowOff>180975</xdr:rowOff>
        </xdr:from>
        <xdr:to>
          <xdr:col>4</xdr:col>
          <xdr:colOff>171450</xdr:colOff>
          <xdr:row>99</xdr:row>
          <xdr:rowOff>9525</xdr:rowOff>
        </xdr:to>
        <xdr:sp macro="" textlink="">
          <xdr:nvSpPr>
            <xdr:cNvPr id="10349" name="Option Button 109" hidden="1">
              <a:extLst>
                <a:ext uri="{63B3BB69-23CF-44E3-9099-C40C66FF867C}">
                  <a14:compatExt spid="_x0000_s10349"/>
                </a:ext>
                <a:ext uri="{FF2B5EF4-FFF2-40B4-BE49-F238E27FC236}">
                  <a16:creationId xmlns:a16="http://schemas.microsoft.com/office/drawing/2014/main" id="{00000000-0008-0000-05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97</xdr:row>
          <xdr:rowOff>180975</xdr:rowOff>
        </xdr:from>
        <xdr:to>
          <xdr:col>4</xdr:col>
          <xdr:colOff>171450</xdr:colOff>
          <xdr:row>99</xdr:row>
          <xdr:rowOff>9525</xdr:rowOff>
        </xdr:to>
        <xdr:sp macro="" textlink="">
          <xdr:nvSpPr>
            <xdr:cNvPr id="10350" name="Option Button 110" hidden="1">
              <a:extLst>
                <a:ext uri="{63B3BB69-23CF-44E3-9099-C40C66FF867C}">
                  <a14:compatExt spid="_x0000_s10350"/>
                </a:ext>
                <a:ext uri="{FF2B5EF4-FFF2-40B4-BE49-F238E27FC236}">
                  <a16:creationId xmlns:a16="http://schemas.microsoft.com/office/drawing/2014/main" id="{00000000-0008-0000-05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97</xdr:row>
          <xdr:rowOff>180975</xdr:rowOff>
        </xdr:from>
        <xdr:to>
          <xdr:col>4</xdr:col>
          <xdr:colOff>171450</xdr:colOff>
          <xdr:row>99</xdr:row>
          <xdr:rowOff>9525</xdr:rowOff>
        </xdr:to>
        <xdr:sp macro="" textlink="">
          <xdr:nvSpPr>
            <xdr:cNvPr id="10351" name="Option Button 111" hidden="1">
              <a:extLst>
                <a:ext uri="{63B3BB69-23CF-44E3-9099-C40C66FF867C}">
                  <a14:compatExt spid="_x0000_s10351"/>
                </a:ext>
                <a:ext uri="{FF2B5EF4-FFF2-40B4-BE49-F238E27FC236}">
                  <a16:creationId xmlns:a16="http://schemas.microsoft.com/office/drawing/2014/main" id="{00000000-0008-0000-05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97</xdr:row>
          <xdr:rowOff>180975</xdr:rowOff>
        </xdr:from>
        <xdr:to>
          <xdr:col>4</xdr:col>
          <xdr:colOff>171450</xdr:colOff>
          <xdr:row>99</xdr:row>
          <xdr:rowOff>9525</xdr:rowOff>
        </xdr:to>
        <xdr:sp macro="" textlink="">
          <xdr:nvSpPr>
            <xdr:cNvPr id="10352" name="Option Button 112" hidden="1">
              <a:extLst>
                <a:ext uri="{63B3BB69-23CF-44E3-9099-C40C66FF867C}">
                  <a14:compatExt spid="_x0000_s10352"/>
                </a:ext>
                <a:ext uri="{FF2B5EF4-FFF2-40B4-BE49-F238E27FC236}">
                  <a16:creationId xmlns:a16="http://schemas.microsoft.com/office/drawing/2014/main" id="{00000000-0008-0000-05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97</xdr:row>
          <xdr:rowOff>180975</xdr:rowOff>
        </xdr:from>
        <xdr:to>
          <xdr:col>4</xdr:col>
          <xdr:colOff>171450</xdr:colOff>
          <xdr:row>99</xdr:row>
          <xdr:rowOff>9525</xdr:rowOff>
        </xdr:to>
        <xdr:sp macro="" textlink="">
          <xdr:nvSpPr>
            <xdr:cNvPr id="10353" name="Option Button 113" hidden="1">
              <a:extLst>
                <a:ext uri="{63B3BB69-23CF-44E3-9099-C40C66FF867C}">
                  <a14:compatExt spid="_x0000_s10353"/>
                </a:ext>
                <a:ext uri="{FF2B5EF4-FFF2-40B4-BE49-F238E27FC236}">
                  <a16:creationId xmlns:a16="http://schemas.microsoft.com/office/drawing/2014/main" id="{00000000-0008-0000-05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97</xdr:row>
          <xdr:rowOff>180975</xdr:rowOff>
        </xdr:from>
        <xdr:to>
          <xdr:col>4</xdr:col>
          <xdr:colOff>171450</xdr:colOff>
          <xdr:row>99</xdr:row>
          <xdr:rowOff>9525</xdr:rowOff>
        </xdr:to>
        <xdr:sp macro="" textlink="">
          <xdr:nvSpPr>
            <xdr:cNvPr id="10354" name="Option Button 114" hidden="1">
              <a:extLst>
                <a:ext uri="{63B3BB69-23CF-44E3-9099-C40C66FF867C}">
                  <a14:compatExt spid="_x0000_s10354"/>
                </a:ext>
                <a:ext uri="{FF2B5EF4-FFF2-40B4-BE49-F238E27FC236}">
                  <a16:creationId xmlns:a16="http://schemas.microsoft.com/office/drawing/2014/main" id="{00000000-0008-0000-05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97</xdr:row>
          <xdr:rowOff>180975</xdr:rowOff>
        </xdr:from>
        <xdr:to>
          <xdr:col>4</xdr:col>
          <xdr:colOff>171450</xdr:colOff>
          <xdr:row>99</xdr:row>
          <xdr:rowOff>9525</xdr:rowOff>
        </xdr:to>
        <xdr:sp macro="" textlink="">
          <xdr:nvSpPr>
            <xdr:cNvPr id="10355" name="Option Button 115" hidden="1">
              <a:extLst>
                <a:ext uri="{63B3BB69-23CF-44E3-9099-C40C66FF867C}">
                  <a14:compatExt spid="_x0000_s10355"/>
                </a:ext>
                <a:ext uri="{FF2B5EF4-FFF2-40B4-BE49-F238E27FC236}">
                  <a16:creationId xmlns:a16="http://schemas.microsoft.com/office/drawing/2014/main" id="{00000000-0008-0000-05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97</xdr:row>
          <xdr:rowOff>180975</xdr:rowOff>
        </xdr:from>
        <xdr:to>
          <xdr:col>4</xdr:col>
          <xdr:colOff>171450</xdr:colOff>
          <xdr:row>99</xdr:row>
          <xdr:rowOff>9525</xdr:rowOff>
        </xdr:to>
        <xdr:sp macro="" textlink="">
          <xdr:nvSpPr>
            <xdr:cNvPr id="10356" name="Option Button 116" hidden="1">
              <a:extLst>
                <a:ext uri="{63B3BB69-23CF-44E3-9099-C40C66FF867C}">
                  <a14:compatExt spid="_x0000_s10356"/>
                </a:ext>
                <a:ext uri="{FF2B5EF4-FFF2-40B4-BE49-F238E27FC236}">
                  <a16:creationId xmlns:a16="http://schemas.microsoft.com/office/drawing/2014/main" id="{00000000-0008-0000-0500-000074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98</xdr:row>
          <xdr:rowOff>180975</xdr:rowOff>
        </xdr:from>
        <xdr:to>
          <xdr:col>4</xdr:col>
          <xdr:colOff>171450</xdr:colOff>
          <xdr:row>100</xdr:row>
          <xdr:rowOff>9525</xdr:rowOff>
        </xdr:to>
        <xdr:sp macro="" textlink="">
          <xdr:nvSpPr>
            <xdr:cNvPr id="10357" name="Option Button 117" hidden="1">
              <a:extLst>
                <a:ext uri="{63B3BB69-23CF-44E3-9099-C40C66FF867C}">
                  <a14:compatExt spid="_x0000_s10357"/>
                </a:ext>
                <a:ext uri="{FF2B5EF4-FFF2-40B4-BE49-F238E27FC236}">
                  <a16:creationId xmlns:a16="http://schemas.microsoft.com/office/drawing/2014/main" id="{00000000-0008-0000-05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98</xdr:row>
          <xdr:rowOff>180975</xdr:rowOff>
        </xdr:from>
        <xdr:to>
          <xdr:col>4</xdr:col>
          <xdr:colOff>171450</xdr:colOff>
          <xdr:row>100</xdr:row>
          <xdr:rowOff>9525</xdr:rowOff>
        </xdr:to>
        <xdr:sp macro="" textlink="">
          <xdr:nvSpPr>
            <xdr:cNvPr id="10358" name="Option Button 118" hidden="1">
              <a:extLst>
                <a:ext uri="{63B3BB69-23CF-44E3-9099-C40C66FF867C}">
                  <a14:compatExt spid="_x0000_s10358"/>
                </a:ext>
                <a:ext uri="{FF2B5EF4-FFF2-40B4-BE49-F238E27FC236}">
                  <a16:creationId xmlns:a16="http://schemas.microsoft.com/office/drawing/2014/main" id="{00000000-0008-0000-05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98</xdr:row>
          <xdr:rowOff>180975</xdr:rowOff>
        </xdr:from>
        <xdr:to>
          <xdr:col>4</xdr:col>
          <xdr:colOff>171450</xdr:colOff>
          <xdr:row>100</xdr:row>
          <xdr:rowOff>9525</xdr:rowOff>
        </xdr:to>
        <xdr:sp macro="" textlink="">
          <xdr:nvSpPr>
            <xdr:cNvPr id="10359" name="Option Button 119" hidden="1">
              <a:extLst>
                <a:ext uri="{63B3BB69-23CF-44E3-9099-C40C66FF867C}">
                  <a14:compatExt spid="_x0000_s10359"/>
                </a:ext>
                <a:ext uri="{FF2B5EF4-FFF2-40B4-BE49-F238E27FC236}">
                  <a16:creationId xmlns:a16="http://schemas.microsoft.com/office/drawing/2014/main" id="{00000000-0008-0000-05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98</xdr:row>
          <xdr:rowOff>180975</xdr:rowOff>
        </xdr:from>
        <xdr:to>
          <xdr:col>4</xdr:col>
          <xdr:colOff>171450</xdr:colOff>
          <xdr:row>100</xdr:row>
          <xdr:rowOff>9525</xdr:rowOff>
        </xdr:to>
        <xdr:sp macro="" textlink="">
          <xdr:nvSpPr>
            <xdr:cNvPr id="10360" name="Option Button 120" hidden="1">
              <a:extLst>
                <a:ext uri="{63B3BB69-23CF-44E3-9099-C40C66FF867C}">
                  <a14:compatExt spid="_x0000_s10360"/>
                </a:ext>
                <a:ext uri="{FF2B5EF4-FFF2-40B4-BE49-F238E27FC236}">
                  <a16:creationId xmlns:a16="http://schemas.microsoft.com/office/drawing/2014/main" id="{00000000-0008-0000-05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98</xdr:row>
          <xdr:rowOff>180975</xdr:rowOff>
        </xdr:from>
        <xdr:to>
          <xdr:col>4</xdr:col>
          <xdr:colOff>171450</xdr:colOff>
          <xdr:row>100</xdr:row>
          <xdr:rowOff>9525</xdr:rowOff>
        </xdr:to>
        <xdr:sp macro="" textlink="">
          <xdr:nvSpPr>
            <xdr:cNvPr id="10361" name="Option Button 121" hidden="1">
              <a:extLst>
                <a:ext uri="{63B3BB69-23CF-44E3-9099-C40C66FF867C}">
                  <a14:compatExt spid="_x0000_s10361"/>
                </a:ext>
                <a:ext uri="{FF2B5EF4-FFF2-40B4-BE49-F238E27FC236}">
                  <a16:creationId xmlns:a16="http://schemas.microsoft.com/office/drawing/2014/main" id="{00000000-0008-0000-05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98</xdr:row>
          <xdr:rowOff>180975</xdr:rowOff>
        </xdr:from>
        <xdr:to>
          <xdr:col>4</xdr:col>
          <xdr:colOff>171450</xdr:colOff>
          <xdr:row>100</xdr:row>
          <xdr:rowOff>9525</xdr:rowOff>
        </xdr:to>
        <xdr:sp macro="" textlink="">
          <xdr:nvSpPr>
            <xdr:cNvPr id="10362" name="Option Button 122" hidden="1">
              <a:extLst>
                <a:ext uri="{63B3BB69-23CF-44E3-9099-C40C66FF867C}">
                  <a14:compatExt spid="_x0000_s10362"/>
                </a:ext>
                <a:ext uri="{FF2B5EF4-FFF2-40B4-BE49-F238E27FC236}">
                  <a16:creationId xmlns:a16="http://schemas.microsoft.com/office/drawing/2014/main" id="{00000000-0008-0000-05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98</xdr:row>
          <xdr:rowOff>180975</xdr:rowOff>
        </xdr:from>
        <xdr:to>
          <xdr:col>4</xdr:col>
          <xdr:colOff>171450</xdr:colOff>
          <xdr:row>100</xdr:row>
          <xdr:rowOff>9525</xdr:rowOff>
        </xdr:to>
        <xdr:sp macro="" textlink="">
          <xdr:nvSpPr>
            <xdr:cNvPr id="10363" name="Option Button 123" hidden="1">
              <a:extLst>
                <a:ext uri="{63B3BB69-23CF-44E3-9099-C40C66FF867C}">
                  <a14:compatExt spid="_x0000_s10363"/>
                </a:ext>
                <a:ext uri="{FF2B5EF4-FFF2-40B4-BE49-F238E27FC236}">
                  <a16:creationId xmlns:a16="http://schemas.microsoft.com/office/drawing/2014/main" id="{00000000-0008-0000-05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98</xdr:row>
          <xdr:rowOff>180975</xdr:rowOff>
        </xdr:from>
        <xdr:to>
          <xdr:col>4</xdr:col>
          <xdr:colOff>171450</xdr:colOff>
          <xdr:row>100</xdr:row>
          <xdr:rowOff>9525</xdr:rowOff>
        </xdr:to>
        <xdr:sp macro="" textlink="">
          <xdr:nvSpPr>
            <xdr:cNvPr id="10364" name="Option Button 124" hidden="1">
              <a:extLst>
                <a:ext uri="{63B3BB69-23CF-44E3-9099-C40C66FF867C}">
                  <a14:compatExt spid="_x0000_s10364"/>
                </a:ext>
                <a:ext uri="{FF2B5EF4-FFF2-40B4-BE49-F238E27FC236}">
                  <a16:creationId xmlns:a16="http://schemas.microsoft.com/office/drawing/2014/main" id="{00000000-0008-0000-0500-00007C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137</xdr:row>
          <xdr:rowOff>180975</xdr:rowOff>
        </xdr:from>
        <xdr:to>
          <xdr:col>5</xdr:col>
          <xdr:colOff>161925</xdr:colOff>
          <xdr:row>139</xdr:row>
          <xdr:rowOff>9525</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0500-00007D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14</xdr:row>
          <xdr:rowOff>180975</xdr:rowOff>
        </xdr:from>
        <xdr:to>
          <xdr:col>0</xdr:col>
          <xdr:colOff>828675</xdr:colOff>
          <xdr:row>16</xdr:row>
          <xdr:rowOff>19050</xdr:rowOff>
        </xdr:to>
        <xdr:sp macro="" textlink="">
          <xdr:nvSpPr>
            <xdr:cNvPr id="10366" name="Option Button 126" hidden="1">
              <a:extLst>
                <a:ext uri="{63B3BB69-23CF-44E3-9099-C40C66FF867C}">
                  <a14:compatExt spid="_x0000_s10366"/>
                </a:ext>
                <a:ext uri="{FF2B5EF4-FFF2-40B4-BE49-F238E27FC236}">
                  <a16:creationId xmlns:a16="http://schemas.microsoft.com/office/drawing/2014/main" id="{00000000-0008-0000-05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16</xdr:row>
          <xdr:rowOff>180975</xdr:rowOff>
        </xdr:from>
        <xdr:to>
          <xdr:col>0</xdr:col>
          <xdr:colOff>828675</xdr:colOff>
          <xdr:row>18</xdr:row>
          <xdr:rowOff>19050</xdr:rowOff>
        </xdr:to>
        <xdr:sp macro="" textlink="">
          <xdr:nvSpPr>
            <xdr:cNvPr id="10367" name="Option Button 127" hidden="1">
              <a:extLst>
                <a:ext uri="{63B3BB69-23CF-44E3-9099-C40C66FF867C}">
                  <a14:compatExt spid="_x0000_s10367"/>
                </a:ext>
                <a:ext uri="{FF2B5EF4-FFF2-40B4-BE49-F238E27FC236}">
                  <a16:creationId xmlns:a16="http://schemas.microsoft.com/office/drawing/2014/main" id="{00000000-0008-0000-0500-00007F28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16</xdr:row>
          <xdr:rowOff>0</xdr:rowOff>
        </xdr:from>
        <xdr:to>
          <xdr:col>1</xdr:col>
          <xdr:colOff>0</xdr:colOff>
          <xdr:row>17</xdr:row>
          <xdr:rowOff>38100</xdr:rowOff>
        </xdr:to>
        <xdr:sp macro="" textlink="">
          <xdr:nvSpPr>
            <xdr:cNvPr id="10370" name="Option Button 130" hidden="1">
              <a:extLst>
                <a:ext uri="{63B3BB69-23CF-44E3-9099-C40C66FF867C}">
                  <a14:compatExt spid="_x0000_s10370"/>
                </a:ext>
                <a:ext uri="{FF2B5EF4-FFF2-40B4-BE49-F238E27FC236}">
                  <a16:creationId xmlns:a16="http://schemas.microsoft.com/office/drawing/2014/main" id="{00000000-0008-0000-0500-000082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561975</xdr:colOff>
          <xdr:row>33</xdr:row>
          <xdr:rowOff>171450</xdr:rowOff>
        </xdr:from>
        <xdr:to>
          <xdr:col>8</xdr:col>
          <xdr:colOff>114300</xdr:colOff>
          <xdr:row>35</xdr:row>
          <xdr:rowOff>9525</xdr:rowOff>
        </xdr:to>
        <xdr:sp macro="" textlink="">
          <xdr:nvSpPr>
            <xdr:cNvPr id="10374" name="Option Button 134" hidden="1">
              <a:extLst>
                <a:ext uri="{63B3BB69-23CF-44E3-9099-C40C66FF867C}">
                  <a14:compatExt spid="_x0000_s10374"/>
                </a:ext>
                <a:ext uri="{FF2B5EF4-FFF2-40B4-BE49-F238E27FC236}">
                  <a16:creationId xmlns:a16="http://schemas.microsoft.com/office/drawing/2014/main" id="{00000000-0008-0000-05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33</xdr:row>
          <xdr:rowOff>180975</xdr:rowOff>
        </xdr:from>
        <xdr:to>
          <xdr:col>6</xdr:col>
          <xdr:colOff>114300</xdr:colOff>
          <xdr:row>35</xdr:row>
          <xdr:rowOff>19050</xdr:rowOff>
        </xdr:to>
        <xdr:sp macro="" textlink="">
          <xdr:nvSpPr>
            <xdr:cNvPr id="10375" name="Option Button 135" hidden="1">
              <a:extLst>
                <a:ext uri="{63B3BB69-23CF-44E3-9099-C40C66FF867C}">
                  <a14:compatExt spid="_x0000_s10375"/>
                </a:ext>
                <a:ext uri="{FF2B5EF4-FFF2-40B4-BE49-F238E27FC236}">
                  <a16:creationId xmlns:a16="http://schemas.microsoft.com/office/drawing/2014/main" id="{00000000-0008-0000-05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34</xdr:row>
          <xdr:rowOff>0</xdr:rowOff>
        </xdr:from>
        <xdr:to>
          <xdr:col>9</xdr:col>
          <xdr:colOff>104775</xdr:colOff>
          <xdr:row>35</xdr:row>
          <xdr:rowOff>28575</xdr:rowOff>
        </xdr:to>
        <xdr:sp macro="" textlink="">
          <xdr:nvSpPr>
            <xdr:cNvPr id="10376" name="Option Button 136" hidden="1">
              <a:extLst>
                <a:ext uri="{63B3BB69-23CF-44E3-9099-C40C66FF867C}">
                  <a14:compatExt spid="_x0000_s10376"/>
                </a:ext>
                <a:ext uri="{FF2B5EF4-FFF2-40B4-BE49-F238E27FC236}">
                  <a16:creationId xmlns:a16="http://schemas.microsoft.com/office/drawing/2014/main" id="{00000000-0008-0000-05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46</xdr:row>
          <xdr:rowOff>161925</xdr:rowOff>
        </xdr:from>
        <xdr:to>
          <xdr:col>4</xdr:col>
          <xdr:colOff>200025</xdr:colOff>
          <xdr:row>48</xdr:row>
          <xdr:rowOff>9525</xdr:rowOff>
        </xdr:to>
        <xdr:sp macro="" textlink="">
          <xdr:nvSpPr>
            <xdr:cNvPr id="10377" name="Option Button 137" hidden="1">
              <a:extLst>
                <a:ext uri="{63B3BB69-23CF-44E3-9099-C40C66FF867C}">
                  <a14:compatExt spid="_x0000_s10377"/>
                </a:ext>
                <a:ext uri="{FF2B5EF4-FFF2-40B4-BE49-F238E27FC236}">
                  <a16:creationId xmlns:a16="http://schemas.microsoft.com/office/drawing/2014/main" id="{00000000-0008-0000-0500-000089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26</xdr:row>
          <xdr:rowOff>123825</xdr:rowOff>
        </xdr:from>
        <xdr:to>
          <xdr:col>8</xdr:col>
          <xdr:colOff>38100</xdr:colOff>
          <xdr:row>31</xdr:row>
          <xdr:rowOff>38100</xdr:rowOff>
        </xdr:to>
        <xdr:sp macro="" textlink="">
          <xdr:nvSpPr>
            <xdr:cNvPr id="10378" name="Group Box 138" hidden="1">
              <a:extLst>
                <a:ext uri="{63B3BB69-23CF-44E3-9099-C40C66FF867C}">
                  <a14:compatExt spid="_x0000_s10378"/>
                </a:ext>
                <a:ext uri="{FF2B5EF4-FFF2-40B4-BE49-F238E27FC236}">
                  <a16:creationId xmlns:a16="http://schemas.microsoft.com/office/drawing/2014/main" id="{00000000-0008-0000-0500-00008A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843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33</xdr:row>
          <xdr:rowOff>171450</xdr:rowOff>
        </xdr:from>
        <xdr:to>
          <xdr:col>10</xdr:col>
          <xdr:colOff>447675</xdr:colOff>
          <xdr:row>37</xdr:row>
          <xdr:rowOff>104775</xdr:rowOff>
        </xdr:to>
        <xdr:sp macro="" textlink="">
          <xdr:nvSpPr>
            <xdr:cNvPr id="10379" name="Group Box 139" hidden="1">
              <a:extLst>
                <a:ext uri="{63B3BB69-23CF-44E3-9099-C40C66FF867C}">
                  <a14:compatExt spid="_x0000_s10379"/>
                </a:ext>
                <a:ext uri="{FF2B5EF4-FFF2-40B4-BE49-F238E27FC236}">
                  <a16:creationId xmlns:a16="http://schemas.microsoft.com/office/drawing/2014/main" id="{00000000-0008-0000-0500-00008B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845</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80" name="Option Button 140" hidden="1">
              <a:extLst>
                <a:ext uri="{63B3BB69-23CF-44E3-9099-C40C66FF867C}">
                  <a14:compatExt spid="_x0000_s10380"/>
                </a:ext>
                <a:ext uri="{FF2B5EF4-FFF2-40B4-BE49-F238E27FC236}">
                  <a16:creationId xmlns:a16="http://schemas.microsoft.com/office/drawing/2014/main" id="{00000000-0008-0000-0500-00008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46</xdr:row>
          <xdr:rowOff>0</xdr:rowOff>
        </xdr:from>
        <xdr:to>
          <xdr:col>7</xdr:col>
          <xdr:colOff>447675</xdr:colOff>
          <xdr:row>47</xdr:row>
          <xdr:rowOff>28575</xdr:rowOff>
        </xdr:to>
        <xdr:sp macro="" textlink="">
          <xdr:nvSpPr>
            <xdr:cNvPr id="10381" name="Option Button 141" hidden="1">
              <a:extLst>
                <a:ext uri="{63B3BB69-23CF-44E3-9099-C40C66FF867C}">
                  <a14:compatExt spid="_x0000_s10381"/>
                </a:ext>
                <a:ext uri="{FF2B5EF4-FFF2-40B4-BE49-F238E27FC236}">
                  <a16:creationId xmlns:a16="http://schemas.microsoft.com/office/drawing/2014/main" id="{00000000-0008-0000-0500-00008D28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22</xdr:row>
          <xdr:rowOff>171450</xdr:rowOff>
        </xdr:from>
        <xdr:to>
          <xdr:col>0</xdr:col>
          <xdr:colOff>819150</xdr:colOff>
          <xdr:row>24</xdr:row>
          <xdr:rowOff>9525</xdr:rowOff>
        </xdr:to>
        <xdr:sp macro="" textlink="">
          <xdr:nvSpPr>
            <xdr:cNvPr id="10382" name="Option Button 142" hidden="1">
              <a:extLst>
                <a:ext uri="{63B3BB69-23CF-44E3-9099-C40C66FF867C}">
                  <a14:compatExt spid="_x0000_s10382"/>
                </a:ext>
                <a:ext uri="{FF2B5EF4-FFF2-40B4-BE49-F238E27FC236}">
                  <a16:creationId xmlns:a16="http://schemas.microsoft.com/office/drawing/2014/main" id="{00000000-0008-0000-05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14</xdr:row>
          <xdr:rowOff>95250</xdr:rowOff>
        </xdr:from>
        <xdr:to>
          <xdr:col>10</xdr:col>
          <xdr:colOff>495300</xdr:colOff>
          <xdr:row>24</xdr:row>
          <xdr:rowOff>38100</xdr:rowOff>
        </xdr:to>
        <xdr:sp macro="" textlink="">
          <xdr:nvSpPr>
            <xdr:cNvPr id="10383" name="Group Box 143" hidden="1">
              <a:extLst>
                <a:ext uri="{63B3BB69-23CF-44E3-9099-C40C66FF867C}">
                  <a14:compatExt spid="_x0000_s10383"/>
                </a:ext>
                <a:ext uri="{FF2B5EF4-FFF2-40B4-BE49-F238E27FC236}">
                  <a16:creationId xmlns:a16="http://schemas.microsoft.com/office/drawing/2014/main" id="{00000000-0008-0000-0500-00008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853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xdr:row>
          <xdr:rowOff>0</xdr:rowOff>
        </xdr:from>
        <xdr:to>
          <xdr:col>6</xdr:col>
          <xdr:colOff>304800</xdr:colOff>
          <xdr:row>15</xdr:row>
          <xdr:rowOff>57150</xdr:rowOff>
        </xdr:to>
        <xdr:sp macro="" textlink="">
          <xdr:nvSpPr>
            <xdr:cNvPr id="10384" name="Group Box 144" hidden="1">
              <a:extLst>
                <a:ext uri="{63B3BB69-23CF-44E3-9099-C40C66FF867C}">
                  <a14:compatExt spid="_x0000_s10384"/>
                </a:ext>
                <a:ext uri="{FF2B5EF4-FFF2-40B4-BE49-F238E27FC236}">
                  <a16:creationId xmlns:a16="http://schemas.microsoft.com/office/drawing/2014/main" id="{00000000-0008-0000-0500-00009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854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66</xdr:row>
          <xdr:rowOff>9525</xdr:rowOff>
        </xdr:from>
        <xdr:to>
          <xdr:col>4</xdr:col>
          <xdr:colOff>152400</xdr:colOff>
          <xdr:row>67</xdr:row>
          <xdr:rowOff>47625</xdr:rowOff>
        </xdr:to>
        <xdr:sp macro="" textlink="">
          <xdr:nvSpPr>
            <xdr:cNvPr id="10386" name="Option Button 146" hidden="1">
              <a:extLst>
                <a:ext uri="{63B3BB69-23CF-44E3-9099-C40C66FF867C}">
                  <a14:compatExt spid="_x0000_s10386"/>
                </a:ext>
                <a:ext uri="{FF2B5EF4-FFF2-40B4-BE49-F238E27FC236}">
                  <a16:creationId xmlns:a16="http://schemas.microsoft.com/office/drawing/2014/main" id="{00000000-0008-0000-05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114</xdr:row>
          <xdr:rowOff>180975</xdr:rowOff>
        </xdr:from>
        <xdr:to>
          <xdr:col>8</xdr:col>
          <xdr:colOff>257175</xdr:colOff>
          <xdr:row>116</xdr:row>
          <xdr:rowOff>19050</xdr:rowOff>
        </xdr:to>
        <xdr:sp macro="" textlink="">
          <xdr:nvSpPr>
            <xdr:cNvPr id="10388" name="Option Button 148" hidden="1">
              <a:extLst>
                <a:ext uri="{63B3BB69-23CF-44E3-9099-C40C66FF867C}">
                  <a14:compatExt spid="_x0000_s10388"/>
                </a:ext>
                <a:ext uri="{FF2B5EF4-FFF2-40B4-BE49-F238E27FC236}">
                  <a16:creationId xmlns:a16="http://schemas.microsoft.com/office/drawing/2014/main" id="{00000000-0008-0000-0500-000094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116</xdr:row>
          <xdr:rowOff>9525</xdr:rowOff>
        </xdr:from>
        <xdr:to>
          <xdr:col>8</xdr:col>
          <xdr:colOff>266700</xdr:colOff>
          <xdr:row>117</xdr:row>
          <xdr:rowOff>38100</xdr:rowOff>
        </xdr:to>
        <xdr:sp macro="" textlink="">
          <xdr:nvSpPr>
            <xdr:cNvPr id="10389" name="Option Button 149" hidden="1">
              <a:extLst>
                <a:ext uri="{63B3BB69-23CF-44E3-9099-C40C66FF867C}">
                  <a14:compatExt spid="_x0000_s10389"/>
                </a:ext>
                <a:ext uri="{FF2B5EF4-FFF2-40B4-BE49-F238E27FC236}">
                  <a16:creationId xmlns:a16="http://schemas.microsoft.com/office/drawing/2014/main" id="{00000000-0008-0000-0500-000095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130</xdr:row>
          <xdr:rowOff>28575</xdr:rowOff>
        </xdr:from>
        <xdr:to>
          <xdr:col>5</xdr:col>
          <xdr:colOff>38100</xdr:colOff>
          <xdr:row>131</xdr:row>
          <xdr:rowOff>38100</xdr:rowOff>
        </xdr:to>
        <xdr:sp macro="" textlink="">
          <xdr:nvSpPr>
            <xdr:cNvPr id="10390" name="Option Button 150" hidden="1">
              <a:extLst>
                <a:ext uri="{63B3BB69-23CF-44E3-9099-C40C66FF867C}">
                  <a14:compatExt spid="_x0000_s10390"/>
                </a:ext>
                <a:ext uri="{FF2B5EF4-FFF2-40B4-BE49-F238E27FC236}">
                  <a16:creationId xmlns:a16="http://schemas.microsoft.com/office/drawing/2014/main" id="{00000000-0008-0000-0500-000096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130</xdr:row>
          <xdr:rowOff>9525</xdr:rowOff>
        </xdr:from>
        <xdr:to>
          <xdr:col>6</xdr:col>
          <xdr:colOff>47625</xdr:colOff>
          <xdr:row>131</xdr:row>
          <xdr:rowOff>38100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id="{00000000-0008-0000-05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25401</xdr:colOff>
      <xdr:row>14</xdr:row>
      <xdr:rowOff>82550</xdr:rowOff>
    </xdr:from>
    <xdr:to>
      <xdr:col>9</xdr:col>
      <xdr:colOff>603251</xdr:colOff>
      <xdr:row>24</xdr:row>
      <xdr:rowOff>44450</xdr:rowOff>
    </xdr:to>
    <xdr:sp macro="" textlink="">
      <xdr:nvSpPr>
        <xdr:cNvPr id="56" name="Rectangle: Rounded Corners 55">
          <a:extLst>
            <a:ext uri="{FF2B5EF4-FFF2-40B4-BE49-F238E27FC236}">
              <a16:creationId xmlns:a16="http://schemas.microsoft.com/office/drawing/2014/main" id="{00000000-0008-0000-0500-000038000000}"/>
            </a:ext>
          </a:extLst>
        </xdr:cNvPr>
        <xdr:cNvSpPr/>
      </xdr:nvSpPr>
      <xdr:spPr>
        <a:xfrm>
          <a:off x="25401" y="2844800"/>
          <a:ext cx="6388100" cy="1866900"/>
        </a:xfrm>
        <a:prstGeom prst="roundRect">
          <a:avLst>
            <a:gd name="adj" fmla="val 7483"/>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0</xdr:col>
          <xdr:colOff>314325</xdr:colOff>
          <xdr:row>102</xdr:row>
          <xdr:rowOff>0</xdr:rowOff>
        </xdr:from>
        <xdr:to>
          <xdr:col>10</xdr:col>
          <xdr:colOff>390525</xdr:colOff>
          <xdr:row>106</xdr:row>
          <xdr:rowOff>47625</xdr:rowOff>
        </xdr:to>
        <xdr:sp macro="" textlink="">
          <xdr:nvSpPr>
            <xdr:cNvPr id="10392" name="Group Box 152" hidden="1">
              <a:extLst>
                <a:ext uri="{63B3BB69-23CF-44E3-9099-C40C66FF867C}">
                  <a14:compatExt spid="_x0000_s10392"/>
                </a:ext>
                <a:ext uri="{FF2B5EF4-FFF2-40B4-BE49-F238E27FC236}">
                  <a16:creationId xmlns:a16="http://schemas.microsoft.com/office/drawing/2014/main" id="{00000000-0008-0000-0500-000098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871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619125</xdr:colOff>
          <xdr:row>138</xdr:row>
          <xdr:rowOff>76200</xdr:rowOff>
        </xdr:from>
        <xdr:to>
          <xdr:col>10</xdr:col>
          <xdr:colOff>142875</xdr:colOff>
          <xdr:row>148</xdr:row>
          <xdr:rowOff>85725</xdr:rowOff>
        </xdr:to>
        <xdr:sp macro="" textlink="">
          <xdr:nvSpPr>
            <xdr:cNvPr id="10393" name="Group Box 153" hidden="1">
              <a:extLst>
                <a:ext uri="{63B3BB69-23CF-44E3-9099-C40C66FF867C}">
                  <a14:compatExt spid="_x0000_s10393"/>
                </a:ext>
                <a:ext uri="{FF2B5EF4-FFF2-40B4-BE49-F238E27FC236}">
                  <a16:creationId xmlns:a16="http://schemas.microsoft.com/office/drawing/2014/main" id="{00000000-0008-0000-0500-000099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 880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138</xdr:row>
          <xdr:rowOff>180975</xdr:rowOff>
        </xdr:from>
        <xdr:to>
          <xdr:col>7</xdr:col>
          <xdr:colOff>619125</xdr:colOff>
          <xdr:row>140</xdr:row>
          <xdr:rowOff>19050</xdr:rowOff>
        </xdr:to>
        <xdr:sp macro="" textlink="">
          <xdr:nvSpPr>
            <xdr:cNvPr id="10394" name="Option Button 154" hidden="1">
              <a:extLst>
                <a:ext uri="{63B3BB69-23CF-44E3-9099-C40C66FF867C}">
                  <a14:compatExt spid="_x0000_s10394"/>
                </a:ext>
                <a:ext uri="{FF2B5EF4-FFF2-40B4-BE49-F238E27FC236}">
                  <a16:creationId xmlns:a16="http://schemas.microsoft.com/office/drawing/2014/main" id="{00000000-0008-0000-0500-00009A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139</xdr:row>
          <xdr:rowOff>190500</xdr:rowOff>
        </xdr:from>
        <xdr:to>
          <xdr:col>7</xdr:col>
          <xdr:colOff>619125</xdr:colOff>
          <xdr:row>141</xdr:row>
          <xdr:rowOff>28575</xdr:rowOff>
        </xdr:to>
        <xdr:sp macro="" textlink="">
          <xdr:nvSpPr>
            <xdr:cNvPr id="10395" name="Option Button 155" hidden="1">
              <a:extLst>
                <a:ext uri="{63B3BB69-23CF-44E3-9099-C40C66FF867C}">
                  <a14:compatExt spid="_x0000_s10395"/>
                </a:ext>
                <a:ext uri="{FF2B5EF4-FFF2-40B4-BE49-F238E27FC236}">
                  <a16:creationId xmlns:a16="http://schemas.microsoft.com/office/drawing/2014/main" id="{00000000-0008-0000-0500-00009B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141</xdr:row>
          <xdr:rowOff>0</xdr:rowOff>
        </xdr:from>
        <xdr:to>
          <xdr:col>7</xdr:col>
          <xdr:colOff>628650</xdr:colOff>
          <xdr:row>142</xdr:row>
          <xdr:rowOff>38100</xdr:rowOff>
        </xdr:to>
        <xdr:sp macro="" textlink="">
          <xdr:nvSpPr>
            <xdr:cNvPr id="10396" name="Option Button 156" hidden="1">
              <a:extLst>
                <a:ext uri="{63B3BB69-23CF-44E3-9099-C40C66FF867C}">
                  <a14:compatExt spid="_x0000_s10396"/>
                </a:ext>
                <a:ext uri="{FF2B5EF4-FFF2-40B4-BE49-F238E27FC236}">
                  <a16:creationId xmlns:a16="http://schemas.microsoft.com/office/drawing/2014/main" id="{00000000-0008-0000-0500-00009C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142</xdr:row>
          <xdr:rowOff>0</xdr:rowOff>
        </xdr:from>
        <xdr:to>
          <xdr:col>7</xdr:col>
          <xdr:colOff>628650</xdr:colOff>
          <xdr:row>143</xdr:row>
          <xdr:rowOff>28575</xdr:rowOff>
        </xdr:to>
        <xdr:sp macro="" textlink="">
          <xdr:nvSpPr>
            <xdr:cNvPr id="10397" name="Option Button 157" hidden="1">
              <a:extLst>
                <a:ext uri="{63B3BB69-23CF-44E3-9099-C40C66FF867C}">
                  <a14:compatExt spid="_x0000_s10397"/>
                </a:ext>
                <a:ext uri="{FF2B5EF4-FFF2-40B4-BE49-F238E27FC236}">
                  <a16:creationId xmlns:a16="http://schemas.microsoft.com/office/drawing/2014/main" id="{00000000-0008-0000-0500-00009D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143</xdr:row>
          <xdr:rowOff>28575</xdr:rowOff>
        </xdr:from>
        <xdr:to>
          <xdr:col>7</xdr:col>
          <xdr:colOff>628650</xdr:colOff>
          <xdr:row>144</xdr:row>
          <xdr:rowOff>57150</xdr:rowOff>
        </xdr:to>
        <xdr:sp macro="" textlink="">
          <xdr:nvSpPr>
            <xdr:cNvPr id="10398" name="Option Button 158" hidden="1">
              <a:extLst>
                <a:ext uri="{63B3BB69-23CF-44E3-9099-C40C66FF867C}">
                  <a14:compatExt spid="_x0000_s10398"/>
                </a:ext>
                <a:ext uri="{FF2B5EF4-FFF2-40B4-BE49-F238E27FC236}">
                  <a16:creationId xmlns:a16="http://schemas.microsoft.com/office/drawing/2014/main" id="{00000000-0008-0000-05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31750</xdr:colOff>
      <xdr:row>136</xdr:row>
      <xdr:rowOff>139700</xdr:rowOff>
    </xdr:from>
    <xdr:to>
      <xdr:col>10</xdr:col>
      <xdr:colOff>19050</xdr:colOff>
      <xdr:row>150</xdr:row>
      <xdr:rowOff>139700</xdr:rowOff>
    </xdr:to>
    <xdr:sp macro="" textlink="">
      <xdr:nvSpPr>
        <xdr:cNvPr id="58" name="Rectangle: Rounded Corners 57">
          <a:extLst>
            <a:ext uri="{FF2B5EF4-FFF2-40B4-BE49-F238E27FC236}">
              <a16:creationId xmlns:a16="http://schemas.microsoft.com/office/drawing/2014/main" id="{00000000-0008-0000-0500-00003A000000}"/>
            </a:ext>
          </a:extLst>
        </xdr:cNvPr>
        <xdr:cNvSpPr/>
      </xdr:nvSpPr>
      <xdr:spPr>
        <a:xfrm>
          <a:off x="31750" y="26352500"/>
          <a:ext cx="6445250" cy="2692400"/>
        </a:xfrm>
        <a:prstGeom prst="roundRect">
          <a:avLst>
            <a:gd name="adj" fmla="val 863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4</xdr:col>
      <xdr:colOff>88900</xdr:colOff>
      <xdr:row>48</xdr:row>
      <xdr:rowOff>38100</xdr:rowOff>
    </xdr:from>
    <xdr:to>
      <xdr:col>5</xdr:col>
      <xdr:colOff>412750</xdr:colOff>
      <xdr:row>50</xdr:row>
      <xdr:rowOff>25400</xdr:rowOff>
    </xdr:to>
    <xdr:sp macro="" textlink="">
      <xdr:nvSpPr>
        <xdr:cNvPr id="59" name="TextBox 58">
          <a:extLst>
            <a:ext uri="{FF2B5EF4-FFF2-40B4-BE49-F238E27FC236}">
              <a16:creationId xmlns:a16="http://schemas.microsoft.com/office/drawing/2014/main" id="{00000000-0008-0000-0500-00003B000000}"/>
            </a:ext>
          </a:extLst>
        </xdr:cNvPr>
        <xdr:cNvSpPr txBox="1"/>
      </xdr:nvSpPr>
      <xdr:spPr>
        <a:xfrm>
          <a:off x="2632075" y="9020175"/>
          <a:ext cx="971550" cy="368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sv-SE" sz="800" b="1">
              <a:solidFill>
                <a:sysClr val="windowText" lastClr="000000"/>
              </a:solidFill>
            </a:rPr>
            <a:t>*</a:t>
          </a:r>
          <a:r>
            <a:rPr lang="sv-SE" sz="700" b="1">
              <a:solidFill>
                <a:srgbClr val="C00000"/>
              </a:solidFill>
            </a:rPr>
            <a:t> BB</a:t>
          </a:r>
          <a:r>
            <a:rPr lang="sv-SE" sz="700"/>
            <a:t>=33-50. </a:t>
          </a:r>
          <a:r>
            <a:rPr lang="sv-SE" sz="700" b="1">
              <a:solidFill>
                <a:srgbClr val="0070C0"/>
              </a:solidFill>
            </a:rPr>
            <a:t>HH</a:t>
          </a:r>
          <a:r>
            <a:rPr lang="sv-SE" sz="700"/>
            <a:t>=30-40</a:t>
          </a:r>
        </a:p>
        <a:p>
          <a:pPr algn="l"/>
          <a:r>
            <a:rPr lang="sv-SE" sz="700"/>
            <a:t> ** </a:t>
          </a:r>
          <a:r>
            <a:rPr lang="sv-SE" sz="700" b="1">
              <a:solidFill>
                <a:srgbClr val="C00000"/>
              </a:solidFill>
              <a:effectLst/>
              <a:latin typeface="+mn-lt"/>
              <a:ea typeface="+mn-ea"/>
              <a:cs typeface="+mn-cs"/>
            </a:rPr>
            <a:t>BB</a:t>
          </a:r>
          <a:r>
            <a:rPr lang="sv-SE" sz="700">
              <a:solidFill>
                <a:schemeClr val="dk1"/>
              </a:solidFill>
              <a:effectLst/>
              <a:latin typeface="+mn-lt"/>
              <a:ea typeface="+mn-ea"/>
              <a:cs typeface="+mn-cs"/>
            </a:rPr>
            <a:t>=33-50. </a:t>
          </a:r>
          <a:r>
            <a:rPr lang="sv-SE" sz="700" b="1">
              <a:solidFill>
                <a:srgbClr val="0070C0"/>
              </a:solidFill>
              <a:effectLst/>
              <a:latin typeface="+mn-lt"/>
              <a:ea typeface="+mn-ea"/>
              <a:cs typeface="+mn-cs"/>
            </a:rPr>
            <a:t>HH</a:t>
          </a:r>
          <a:r>
            <a:rPr lang="sv-SE" sz="700">
              <a:solidFill>
                <a:schemeClr val="dk1"/>
              </a:solidFill>
              <a:effectLst/>
              <a:latin typeface="+mn-lt"/>
              <a:ea typeface="+mn-ea"/>
              <a:cs typeface="+mn-cs"/>
            </a:rPr>
            <a:t>=25-40</a:t>
          </a:r>
        </a:p>
        <a:p>
          <a:pPr algn="l"/>
          <a:r>
            <a:rPr lang="sv-SE" sz="700">
              <a:solidFill>
                <a:schemeClr val="dk1"/>
              </a:solidFill>
              <a:effectLst/>
              <a:latin typeface="+mn-lt"/>
              <a:ea typeface="+mn-ea"/>
              <a:cs typeface="+mn-cs"/>
            </a:rPr>
            <a:t>*** </a:t>
          </a:r>
          <a:r>
            <a:rPr lang="sv-SE" sz="700" b="1">
              <a:solidFill>
                <a:srgbClr val="C00000"/>
              </a:solidFill>
              <a:effectLst/>
              <a:latin typeface="+mn-lt"/>
              <a:ea typeface="+mn-ea"/>
              <a:cs typeface="+mn-cs"/>
            </a:rPr>
            <a:t>BB</a:t>
          </a:r>
          <a:r>
            <a:rPr lang="sv-SE" sz="700">
              <a:solidFill>
                <a:schemeClr val="dk1"/>
              </a:solidFill>
              <a:effectLst/>
              <a:latin typeface="+mn-lt"/>
              <a:ea typeface="+mn-ea"/>
              <a:cs typeface="+mn-cs"/>
            </a:rPr>
            <a:t>=30-50</a:t>
          </a:r>
          <a:endParaRPr lang="sv-SE" sz="700"/>
        </a:p>
      </xdr:txBody>
    </xdr:sp>
    <xdr:clientData/>
  </xdr:twoCellAnchor>
  <xdr:twoCellAnchor>
    <xdr:from>
      <xdr:col>3</xdr:col>
      <xdr:colOff>508000</xdr:colOff>
      <xdr:row>44</xdr:row>
      <xdr:rowOff>107950</xdr:rowOff>
    </xdr:from>
    <xdr:to>
      <xdr:col>7</xdr:col>
      <xdr:colOff>107950</xdr:colOff>
      <xdr:row>50</xdr:row>
      <xdr:rowOff>63500</xdr:rowOff>
    </xdr:to>
    <xdr:sp macro="" textlink="">
      <xdr:nvSpPr>
        <xdr:cNvPr id="60" name="Rectangle: Rounded Corners 59">
          <a:extLst>
            <a:ext uri="{FF2B5EF4-FFF2-40B4-BE49-F238E27FC236}">
              <a16:creationId xmlns:a16="http://schemas.microsoft.com/office/drawing/2014/main" id="{00000000-0008-0000-0500-00003C000000}"/>
            </a:ext>
          </a:extLst>
        </xdr:cNvPr>
        <xdr:cNvSpPr/>
      </xdr:nvSpPr>
      <xdr:spPr>
        <a:xfrm>
          <a:off x="2432050" y="8585200"/>
          <a:ext cx="2190750" cy="1098550"/>
        </a:xfrm>
        <a:prstGeom prst="roundRect">
          <a:avLst>
            <a:gd name="adj" fmla="val 8975"/>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330200</xdr:colOff>
      <xdr:row>48</xdr:row>
      <xdr:rowOff>38100</xdr:rowOff>
    </xdr:from>
    <xdr:to>
      <xdr:col>9</xdr:col>
      <xdr:colOff>317500</xdr:colOff>
      <xdr:row>50</xdr:row>
      <xdr:rowOff>19050</xdr:rowOff>
    </xdr:to>
    <xdr:sp macro="" textlink="">
      <xdr:nvSpPr>
        <xdr:cNvPr id="61" name="TextBox 60">
          <a:extLst>
            <a:ext uri="{FF2B5EF4-FFF2-40B4-BE49-F238E27FC236}">
              <a16:creationId xmlns:a16="http://schemas.microsoft.com/office/drawing/2014/main" id="{00000000-0008-0000-0500-00003D000000}"/>
            </a:ext>
          </a:extLst>
        </xdr:cNvPr>
        <xdr:cNvSpPr txBox="1"/>
      </xdr:nvSpPr>
      <xdr:spPr>
        <a:xfrm>
          <a:off x="4816475" y="9020175"/>
          <a:ext cx="1282700"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sv-SE" sz="800" b="1">
              <a:solidFill>
                <a:sysClr val="windowText" lastClr="000000"/>
              </a:solidFill>
            </a:rPr>
            <a:t>*</a:t>
          </a:r>
          <a:r>
            <a:rPr lang="sv-SE" sz="700" b="1">
              <a:solidFill>
                <a:srgbClr val="C00000"/>
              </a:solidFill>
            </a:rPr>
            <a:t> BB</a:t>
          </a:r>
          <a:r>
            <a:rPr lang="sv-SE" sz="700"/>
            <a:t>=36-45. </a:t>
          </a:r>
          <a:r>
            <a:rPr lang="sv-SE" sz="700" b="1">
              <a:solidFill>
                <a:srgbClr val="0070C0"/>
              </a:solidFill>
            </a:rPr>
            <a:t>HH</a:t>
          </a:r>
          <a:r>
            <a:rPr lang="sv-SE" sz="700"/>
            <a:t>=30-40; </a:t>
          </a:r>
        </a:p>
        <a:p>
          <a:pPr algn="l"/>
          <a:r>
            <a:rPr lang="sv-SE" sz="700"/>
            <a:t>** </a:t>
          </a:r>
          <a:r>
            <a:rPr lang="sv-SE" sz="700" b="1">
              <a:solidFill>
                <a:srgbClr val="C00000"/>
              </a:solidFill>
              <a:effectLst/>
              <a:latin typeface="+mn-lt"/>
              <a:ea typeface="+mn-ea"/>
              <a:cs typeface="+mn-cs"/>
            </a:rPr>
            <a:t>BB</a:t>
          </a:r>
          <a:r>
            <a:rPr lang="sv-SE" sz="700">
              <a:solidFill>
                <a:schemeClr val="dk1"/>
              </a:solidFill>
              <a:effectLst/>
              <a:latin typeface="+mn-lt"/>
              <a:ea typeface="+mn-ea"/>
              <a:cs typeface="+mn-cs"/>
            </a:rPr>
            <a:t>=33-42. </a:t>
          </a:r>
          <a:r>
            <a:rPr lang="sv-SE" sz="700" b="1">
              <a:solidFill>
                <a:srgbClr val="0070C0"/>
              </a:solidFill>
              <a:effectLst/>
              <a:latin typeface="+mn-lt"/>
              <a:ea typeface="+mn-ea"/>
              <a:cs typeface="+mn-cs"/>
            </a:rPr>
            <a:t>HH</a:t>
          </a:r>
          <a:r>
            <a:rPr lang="sv-SE" sz="700">
              <a:solidFill>
                <a:schemeClr val="dk1"/>
              </a:solidFill>
              <a:effectLst/>
              <a:latin typeface="+mn-lt"/>
              <a:ea typeface="+mn-ea"/>
              <a:cs typeface="+mn-cs"/>
            </a:rPr>
            <a:t>=25-40</a:t>
          </a:r>
        </a:p>
        <a:p>
          <a:pPr algn="l"/>
          <a:r>
            <a:rPr lang="sv-SE" sz="700">
              <a:solidFill>
                <a:schemeClr val="dk1"/>
              </a:solidFill>
              <a:effectLst/>
              <a:latin typeface="+mn-lt"/>
              <a:ea typeface="+mn-ea"/>
              <a:cs typeface="+mn-cs"/>
            </a:rPr>
            <a:t>*** </a:t>
          </a:r>
          <a:r>
            <a:rPr lang="sv-SE" sz="700" b="1">
              <a:solidFill>
                <a:srgbClr val="C00000"/>
              </a:solidFill>
              <a:effectLst/>
              <a:latin typeface="+mn-lt"/>
              <a:ea typeface="+mn-ea"/>
              <a:cs typeface="+mn-cs"/>
            </a:rPr>
            <a:t>BB</a:t>
          </a:r>
          <a:r>
            <a:rPr lang="sv-SE" sz="700">
              <a:solidFill>
                <a:schemeClr val="dk1"/>
              </a:solidFill>
              <a:effectLst/>
              <a:latin typeface="+mn-lt"/>
              <a:ea typeface="+mn-ea"/>
              <a:cs typeface="+mn-cs"/>
            </a:rPr>
            <a:t>=33-45. </a:t>
          </a:r>
          <a:r>
            <a:rPr lang="sv-SE" sz="700" b="1">
              <a:solidFill>
                <a:srgbClr val="0070C0"/>
              </a:solidFill>
              <a:effectLst/>
              <a:latin typeface="+mn-lt"/>
              <a:ea typeface="+mn-ea"/>
              <a:cs typeface="+mn-cs"/>
            </a:rPr>
            <a:t>HH</a:t>
          </a:r>
          <a:r>
            <a:rPr lang="sv-SE" sz="700">
              <a:solidFill>
                <a:schemeClr val="dk1"/>
              </a:solidFill>
              <a:effectLst/>
              <a:latin typeface="+mn-lt"/>
              <a:ea typeface="+mn-ea"/>
              <a:cs typeface="+mn-cs"/>
            </a:rPr>
            <a:t>=35-40</a:t>
          </a:r>
          <a:endParaRPr lang="sv-SE" sz="700"/>
        </a:p>
      </xdr:txBody>
    </xdr:sp>
    <xdr:clientData/>
  </xdr:twoCellAnchor>
  <mc:AlternateContent xmlns:mc="http://schemas.openxmlformats.org/markup-compatibility/2006">
    <mc:Choice xmlns:a14="http://schemas.microsoft.com/office/drawing/2010/main" Requires="a14">
      <xdr:twoCellAnchor editAs="oneCell">
        <xdr:from>
          <xdr:col>3</xdr:col>
          <xdr:colOff>628650</xdr:colOff>
          <xdr:row>90</xdr:row>
          <xdr:rowOff>171450</xdr:rowOff>
        </xdr:from>
        <xdr:to>
          <xdr:col>4</xdr:col>
          <xdr:colOff>180975</xdr:colOff>
          <xdr:row>92</xdr:row>
          <xdr:rowOff>0</xdr:rowOff>
        </xdr:to>
        <xdr:sp macro="" textlink="">
          <xdr:nvSpPr>
            <xdr:cNvPr id="10401" name="Option Button 161" hidden="1">
              <a:extLst>
                <a:ext uri="{63B3BB69-23CF-44E3-9099-C40C66FF867C}">
                  <a14:compatExt spid="_x0000_s10401"/>
                </a:ext>
                <a:ext uri="{FF2B5EF4-FFF2-40B4-BE49-F238E27FC236}">
                  <a16:creationId xmlns:a16="http://schemas.microsoft.com/office/drawing/2014/main" id="{00000000-0008-0000-0500-0000A1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581025</xdr:colOff>
          <xdr:row>137</xdr:row>
          <xdr:rowOff>190500</xdr:rowOff>
        </xdr:from>
        <xdr:to>
          <xdr:col>0</xdr:col>
          <xdr:colOff>790575</xdr:colOff>
          <xdr:row>139</xdr:row>
          <xdr:rowOff>28575</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id="{00000000-0008-0000-0500-0000A2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03" name="Option Button 163" hidden="1">
              <a:extLst>
                <a:ext uri="{63B3BB69-23CF-44E3-9099-C40C66FF867C}">
                  <a14:compatExt spid="_x0000_s10403"/>
                </a:ext>
                <a:ext uri="{FF2B5EF4-FFF2-40B4-BE49-F238E27FC236}">
                  <a16:creationId xmlns:a16="http://schemas.microsoft.com/office/drawing/2014/main" id="{00000000-0008-0000-05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140</xdr:row>
          <xdr:rowOff>142875</xdr:rowOff>
        </xdr:from>
        <xdr:to>
          <xdr:col>5</xdr:col>
          <xdr:colOff>161925</xdr:colOff>
          <xdr:row>141</xdr:row>
          <xdr:rowOff>180975</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0500-0000A4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39</xdr:row>
          <xdr:rowOff>0</xdr:rowOff>
        </xdr:from>
        <xdr:to>
          <xdr:col>9</xdr:col>
          <xdr:colOff>609600</xdr:colOff>
          <xdr:row>42</xdr:row>
          <xdr:rowOff>180975</xdr:rowOff>
        </xdr:to>
        <xdr:sp macro="" textlink="">
          <xdr:nvSpPr>
            <xdr:cNvPr id="10405" name="Group Box 165" hidden="1">
              <a:extLst>
                <a:ext uri="{63B3BB69-23CF-44E3-9099-C40C66FF867C}">
                  <a14:compatExt spid="_x0000_s10405"/>
                </a:ext>
                <a:ext uri="{FF2B5EF4-FFF2-40B4-BE49-F238E27FC236}">
                  <a16:creationId xmlns:a16="http://schemas.microsoft.com/office/drawing/2014/main" id="{00000000-0008-0000-0500-0000A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902</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06" name="Option Button 166" hidden="1">
              <a:extLst>
                <a:ext uri="{63B3BB69-23CF-44E3-9099-C40C66FF867C}">
                  <a14:compatExt spid="_x0000_s10406"/>
                </a:ext>
                <a:ext uri="{FF2B5EF4-FFF2-40B4-BE49-F238E27FC236}">
                  <a16:creationId xmlns:a16="http://schemas.microsoft.com/office/drawing/2014/main" id="{00000000-0008-0000-05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39</xdr:row>
          <xdr:rowOff>190500</xdr:rowOff>
        </xdr:from>
        <xdr:to>
          <xdr:col>3</xdr:col>
          <xdr:colOff>171450</xdr:colOff>
          <xdr:row>41</xdr:row>
          <xdr:rowOff>28575</xdr:rowOff>
        </xdr:to>
        <xdr:sp macro="" textlink="">
          <xdr:nvSpPr>
            <xdr:cNvPr id="10407" name="Option Button 167" hidden="1">
              <a:extLst>
                <a:ext uri="{63B3BB69-23CF-44E3-9099-C40C66FF867C}">
                  <a14:compatExt spid="_x0000_s10407"/>
                </a:ext>
                <a:ext uri="{FF2B5EF4-FFF2-40B4-BE49-F238E27FC236}">
                  <a16:creationId xmlns:a16="http://schemas.microsoft.com/office/drawing/2014/main" id="{00000000-0008-0000-05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39</xdr:row>
          <xdr:rowOff>171450</xdr:rowOff>
        </xdr:from>
        <xdr:to>
          <xdr:col>4</xdr:col>
          <xdr:colOff>123825</xdr:colOff>
          <xdr:row>41</xdr:row>
          <xdr:rowOff>9525</xdr:rowOff>
        </xdr:to>
        <xdr:sp macro="" textlink="">
          <xdr:nvSpPr>
            <xdr:cNvPr id="10408" name="Option Button 168" hidden="1">
              <a:extLst>
                <a:ext uri="{63B3BB69-23CF-44E3-9099-C40C66FF867C}">
                  <a14:compatExt spid="_x0000_s10408"/>
                </a:ext>
                <a:ext uri="{FF2B5EF4-FFF2-40B4-BE49-F238E27FC236}">
                  <a16:creationId xmlns:a16="http://schemas.microsoft.com/office/drawing/2014/main" id="{00000000-0008-0000-05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39</xdr:row>
          <xdr:rowOff>171450</xdr:rowOff>
        </xdr:from>
        <xdr:to>
          <xdr:col>5</xdr:col>
          <xdr:colOff>171450</xdr:colOff>
          <xdr:row>41</xdr:row>
          <xdr:rowOff>9525</xdr:rowOff>
        </xdr:to>
        <xdr:sp macro="" textlink="">
          <xdr:nvSpPr>
            <xdr:cNvPr id="10409" name="Option Button 169" hidden="1">
              <a:extLst>
                <a:ext uri="{63B3BB69-23CF-44E3-9099-C40C66FF867C}">
                  <a14:compatExt spid="_x0000_s10409"/>
                </a:ext>
                <a:ext uri="{FF2B5EF4-FFF2-40B4-BE49-F238E27FC236}">
                  <a16:creationId xmlns:a16="http://schemas.microsoft.com/office/drawing/2014/main" id="{00000000-0008-0000-05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39</xdr:row>
          <xdr:rowOff>171450</xdr:rowOff>
        </xdr:from>
        <xdr:to>
          <xdr:col>6</xdr:col>
          <xdr:colOff>219075</xdr:colOff>
          <xdr:row>41</xdr:row>
          <xdr:rowOff>9525</xdr:rowOff>
        </xdr:to>
        <xdr:sp macro="" textlink="">
          <xdr:nvSpPr>
            <xdr:cNvPr id="10410" name="Option Button 170" hidden="1">
              <a:extLst>
                <a:ext uri="{63B3BB69-23CF-44E3-9099-C40C66FF867C}">
                  <a14:compatExt spid="_x0000_s10410"/>
                </a:ext>
                <a:ext uri="{FF2B5EF4-FFF2-40B4-BE49-F238E27FC236}">
                  <a16:creationId xmlns:a16="http://schemas.microsoft.com/office/drawing/2014/main" id="{00000000-0008-0000-05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31750</xdr:colOff>
      <xdr:row>39</xdr:row>
      <xdr:rowOff>25400</xdr:rowOff>
    </xdr:from>
    <xdr:to>
      <xdr:col>9</xdr:col>
      <xdr:colOff>635000</xdr:colOff>
      <xdr:row>42</xdr:row>
      <xdr:rowOff>152400</xdr:rowOff>
    </xdr:to>
    <xdr:sp macro="" textlink="">
      <xdr:nvSpPr>
        <xdr:cNvPr id="62" name="Rectangle: Rounded Corners 61">
          <a:extLst>
            <a:ext uri="{FF2B5EF4-FFF2-40B4-BE49-F238E27FC236}">
              <a16:creationId xmlns:a16="http://schemas.microsoft.com/office/drawing/2014/main" id="{00000000-0008-0000-0500-00003E000000}"/>
            </a:ext>
          </a:extLst>
        </xdr:cNvPr>
        <xdr:cNvSpPr/>
      </xdr:nvSpPr>
      <xdr:spPr>
        <a:xfrm>
          <a:off x="31750" y="7550150"/>
          <a:ext cx="6413500" cy="698500"/>
        </a:xfrm>
        <a:prstGeom prst="roundRect">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4</xdr:col>
          <xdr:colOff>638175</xdr:colOff>
          <xdr:row>159</xdr:row>
          <xdr:rowOff>190500</xdr:rowOff>
        </xdr:from>
        <xdr:to>
          <xdr:col>5</xdr:col>
          <xdr:colOff>180975</xdr:colOff>
          <xdr:row>161</xdr:row>
          <xdr:rowOff>28575</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id="{00000000-0008-0000-05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39</xdr:row>
          <xdr:rowOff>180975</xdr:rowOff>
        </xdr:from>
        <xdr:to>
          <xdr:col>7</xdr:col>
          <xdr:colOff>342900</xdr:colOff>
          <xdr:row>41</xdr:row>
          <xdr:rowOff>19050</xdr:rowOff>
        </xdr:to>
        <xdr:sp macro="" textlink="">
          <xdr:nvSpPr>
            <xdr:cNvPr id="10413" name="Option Button 173" hidden="1">
              <a:extLst>
                <a:ext uri="{63B3BB69-23CF-44E3-9099-C40C66FF867C}">
                  <a14:compatExt spid="_x0000_s10413"/>
                </a:ext>
                <a:ext uri="{FF2B5EF4-FFF2-40B4-BE49-F238E27FC236}">
                  <a16:creationId xmlns:a16="http://schemas.microsoft.com/office/drawing/2014/main" id="{00000000-0008-0000-05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19</xdr:row>
          <xdr:rowOff>0</xdr:rowOff>
        </xdr:from>
        <xdr:to>
          <xdr:col>0</xdr:col>
          <xdr:colOff>819150</xdr:colOff>
          <xdr:row>20</xdr:row>
          <xdr:rowOff>28575</xdr:rowOff>
        </xdr:to>
        <xdr:sp macro="" textlink="">
          <xdr:nvSpPr>
            <xdr:cNvPr id="10417" name="Option Button 177" hidden="1">
              <a:extLst>
                <a:ext uri="{63B3BB69-23CF-44E3-9099-C40C66FF867C}">
                  <a14:compatExt spid="_x0000_s10417"/>
                </a:ext>
                <a:ext uri="{FF2B5EF4-FFF2-40B4-BE49-F238E27FC236}">
                  <a16:creationId xmlns:a16="http://schemas.microsoft.com/office/drawing/2014/main" id="{00000000-0008-0000-0500-0000B128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35</xdr:row>
          <xdr:rowOff>171450</xdr:rowOff>
        </xdr:from>
        <xdr:to>
          <xdr:col>0</xdr:col>
          <xdr:colOff>790575</xdr:colOff>
          <xdr:row>37</xdr:row>
          <xdr:rowOff>0</xdr:rowOff>
        </xdr:to>
        <xdr:sp macro="" textlink="">
          <xdr:nvSpPr>
            <xdr:cNvPr id="10427" name="Option Button 187" hidden="1">
              <a:extLst>
                <a:ext uri="{63B3BB69-23CF-44E3-9099-C40C66FF867C}">
                  <a14:compatExt spid="_x0000_s10427"/>
                </a:ext>
                <a:ext uri="{FF2B5EF4-FFF2-40B4-BE49-F238E27FC236}">
                  <a16:creationId xmlns:a16="http://schemas.microsoft.com/office/drawing/2014/main" id="{00000000-0008-0000-0500-0000B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40</xdr:row>
          <xdr:rowOff>171450</xdr:rowOff>
        </xdr:from>
        <xdr:to>
          <xdr:col>1</xdr:col>
          <xdr:colOff>9525</xdr:colOff>
          <xdr:row>42</xdr:row>
          <xdr:rowOff>9525</xdr:rowOff>
        </xdr:to>
        <xdr:sp macro="" textlink="">
          <xdr:nvSpPr>
            <xdr:cNvPr id="10428" name="Option Button 188" hidden="1">
              <a:extLst>
                <a:ext uri="{63B3BB69-23CF-44E3-9099-C40C66FF867C}">
                  <a14:compatExt spid="_x0000_s10428"/>
                </a:ext>
                <a:ext uri="{FF2B5EF4-FFF2-40B4-BE49-F238E27FC236}">
                  <a16:creationId xmlns:a16="http://schemas.microsoft.com/office/drawing/2014/main" id="{00000000-0008-0000-0500-0000B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619125</xdr:colOff>
          <xdr:row>44</xdr:row>
          <xdr:rowOff>171450</xdr:rowOff>
        </xdr:from>
        <xdr:to>
          <xdr:col>1</xdr:col>
          <xdr:colOff>9525</xdr:colOff>
          <xdr:row>46</xdr:row>
          <xdr:rowOff>19050</xdr:rowOff>
        </xdr:to>
        <xdr:sp macro="" textlink="">
          <xdr:nvSpPr>
            <xdr:cNvPr id="10429" name="Option Button 189" hidden="1">
              <a:extLst>
                <a:ext uri="{63B3BB69-23CF-44E3-9099-C40C66FF867C}">
                  <a14:compatExt spid="_x0000_s10429"/>
                </a:ext>
                <a:ext uri="{FF2B5EF4-FFF2-40B4-BE49-F238E27FC236}">
                  <a16:creationId xmlns:a16="http://schemas.microsoft.com/office/drawing/2014/main" id="{00000000-0008-0000-0500-0000BD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47</xdr:row>
          <xdr:rowOff>152400</xdr:rowOff>
        </xdr:from>
        <xdr:to>
          <xdr:col>0</xdr:col>
          <xdr:colOff>828675</xdr:colOff>
          <xdr:row>49</xdr:row>
          <xdr:rowOff>0</xdr:rowOff>
        </xdr:to>
        <xdr:sp macro="" textlink="">
          <xdr:nvSpPr>
            <xdr:cNvPr id="10430" name="Option Button 190" hidden="1">
              <a:extLst>
                <a:ext uri="{63B3BB69-23CF-44E3-9099-C40C66FF867C}">
                  <a14:compatExt spid="_x0000_s10430"/>
                </a:ext>
                <a:ext uri="{FF2B5EF4-FFF2-40B4-BE49-F238E27FC236}">
                  <a16:creationId xmlns:a16="http://schemas.microsoft.com/office/drawing/2014/main" id="{00000000-0008-0000-0500-0000BE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619125</xdr:colOff>
          <xdr:row>52</xdr:row>
          <xdr:rowOff>190500</xdr:rowOff>
        </xdr:from>
        <xdr:to>
          <xdr:col>1</xdr:col>
          <xdr:colOff>0</xdr:colOff>
          <xdr:row>54</xdr:row>
          <xdr:rowOff>28575</xdr:rowOff>
        </xdr:to>
        <xdr:sp macro="" textlink="">
          <xdr:nvSpPr>
            <xdr:cNvPr id="10434" name="Option Button 194" hidden="1">
              <a:extLst>
                <a:ext uri="{63B3BB69-23CF-44E3-9099-C40C66FF867C}">
                  <a14:compatExt spid="_x0000_s10434"/>
                </a:ext>
                <a:ext uri="{FF2B5EF4-FFF2-40B4-BE49-F238E27FC236}">
                  <a16:creationId xmlns:a16="http://schemas.microsoft.com/office/drawing/2014/main" id="{00000000-0008-0000-05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59</xdr:row>
          <xdr:rowOff>180975</xdr:rowOff>
        </xdr:from>
        <xdr:to>
          <xdr:col>1</xdr:col>
          <xdr:colOff>19050</xdr:colOff>
          <xdr:row>61</xdr:row>
          <xdr:rowOff>19050</xdr:rowOff>
        </xdr:to>
        <xdr:sp macro="" textlink="">
          <xdr:nvSpPr>
            <xdr:cNvPr id="10435" name="Option Button 195" hidden="1">
              <a:extLst>
                <a:ext uri="{63B3BB69-23CF-44E3-9099-C40C66FF867C}">
                  <a14:compatExt spid="_x0000_s10435"/>
                </a:ext>
                <a:ext uri="{FF2B5EF4-FFF2-40B4-BE49-F238E27FC236}">
                  <a16:creationId xmlns:a16="http://schemas.microsoft.com/office/drawing/2014/main" id="{00000000-0008-0000-0500-0000C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619125</xdr:colOff>
          <xdr:row>61</xdr:row>
          <xdr:rowOff>133350</xdr:rowOff>
        </xdr:from>
        <xdr:to>
          <xdr:col>1</xdr:col>
          <xdr:colOff>28575</xdr:colOff>
          <xdr:row>62</xdr:row>
          <xdr:rowOff>161925</xdr:rowOff>
        </xdr:to>
        <xdr:sp macro="" textlink="">
          <xdr:nvSpPr>
            <xdr:cNvPr id="10436" name="Option Button 196" hidden="1">
              <a:extLst>
                <a:ext uri="{63B3BB69-23CF-44E3-9099-C40C66FF867C}">
                  <a14:compatExt spid="_x0000_s10436"/>
                </a:ext>
                <a:ext uri="{FF2B5EF4-FFF2-40B4-BE49-F238E27FC236}">
                  <a16:creationId xmlns:a16="http://schemas.microsoft.com/office/drawing/2014/main" id="{00000000-0008-0000-05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66</xdr:row>
          <xdr:rowOff>0</xdr:rowOff>
        </xdr:from>
        <xdr:to>
          <xdr:col>1</xdr:col>
          <xdr:colOff>9525</xdr:colOff>
          <xdr:row>67</xdr:row>
          <xdr:rowOff>38100</xdr:rowOff>
        </xdr:to>
        <xdr:sp macro="" textlink="">
          <xdr:nvSpPr>
            <xdr:cNvPr id="10438" name="Option Button 198" hidden="1">
              <a:extLst>
                <a:ext uri="{63B3BB69-23CF-44E3-9099-C40C66FF867C}">
                  <a14:compatExt spid="_x0000_s10438"/>
                </a:ext>
                <a:ext uri="{FF2B5EF4-FFF2-40B4-BE49-F238E27FC236}">
                  <a16:creationId xmlns:a16="http://schemas.microsoft.com/office/drawing/2014/main" id="{00000000-0008-0000-05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68</xdr:row>
          <xdr:rowOff>0</xdr:rowOff>
        </xdr:from>
        <xdr:to>
          <xdr:col>1</xdr:col>
          <xdr:colOff>9525</xdr:colOff>
          <xdr:row>69</xdr:row>
          <xdr:rowOff>28575</xdr:rowOff>
        </xdr:to>
        <xdr:sp macro="" textlink="">
          <xdr:nvSpPr>
            <xdr:cNvPr id="10439" name="Option Button 199" hidden="1">
              <a:extLst>
                <a:ext uri="{63B3BB69-23CF-44E3-9099-C40C66FF867C}">
                  <a14:compatExt spid="_x0000_s10439"/>
                </a:ext>
                <a:ext uri="{FF2B5EF4-FFF2-40B4-BE49-F238E27FC236}">
                  <a16:creationId xmlns:a16="http://schemas.microsoft.com/office/drawing/2014/main" id="{00000000-0008-0000-05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75</xdr:row>
          <xdr:rowOff>180975</xdr:rowOff>
        </xdr:from>
        <xdr:to>
          <xdr:col>0</xdr:col>
          <xdr:colOff>800100</xdr:colOff>
          <xdr:row>77</xdr:row>
          <xdr:rowOff>19050</xdr:rowOff>
        </xdr:to>
        <xdr:sp macro="" textlink="">
          <xdr:nvSpPr>
            <xdr:cNvPr id="10442" name="Option Button 202" hidden="1">
              <a:extLst>
                <a:ext uri="{63B3BB69-23CF-44E3-9099-C40C66FF867C}">
                  <a14:compatExt spid="_x0000_s10442"/>
                </a:ext>
                <a:ext uri="{FF2B5EF4-FFF2-40B4-BE49-F238E27FC236}">
                  <a16:creationId xmlns:a16="http://schemas.microsoft.com/office/drawing/2014/main" id="{00000000-0008-0000-05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581025</xdr:colOff>
          <xdr:row>81</xdr:row>
          <xdr:rowOff>171450</xdr:rowOff>
        </xdr:from>
        <xdr:to>
          <xdr:col>0</xdr:col>
          <xdr:colOff>800100</xdr:colOff>
          <xdr:row>83</xdr:row>
          <xdr:rowOff>38100</xdr:rowOff>
        </xdr:to>
        <xdr:sp macro="" textlink="">
          <xdr:nvSpPr>
            <xdr:cNvPr id="10443" name="Option Button 203" hidden="1">
              <a:extLst>
                <a:ext uri="{63B3BB69-23CF-44E3-9099-C40C66FF867C}">
                  <a14:compatExt spid="_x0000_s10443"/>
                </a:ext>
                <a:ext uri="{FF2B5EF4-FFF2-40B4-BE49-F238E27FC236}">
                  <a16:creationId xmlns:a16="http://schemas.microsoft.com/office/drawing/2014/main" id="{00000000-0008-0000-0500-0000CB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84</xdr:row>
          <xdr:rowOff>190500</xdr:rowOff>
        </xdr:from>
        <xdr:to>
          <xdr:col>0</xdr:col>
          <xdr:colOff>809625</xdr:colOff>
          <xdr:row>86</xdr:row>
          <xdr:rowOff>28575</xdr:rowOff>
        </xdr:to>
        <xdr:sp macro="" textlink="">
          <xdr:nvSpPr>
            <xdr:cNvPr id="10444" name="Option Button 204" hidden="1">
              <a:extLst>
                <a:ext uri="{63B3BB69-23CF-44E3-9099-C40C66FF867C}">
                  <a14:compatExt spid="_x0000_s10444"/>
                </a:ext>
                <a:ext uri="{FF2B5EF4-FFF2-40B4-BE49-F238E27FC236}">
                  <a16:creationId xmlns:a16="http://schemas.microsoft.com/office/drawing/2014/main" id="{00000000-0008-0000-0500-0000CC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99</xdr:row>
          <xdr:rowOff>152400</xdr:rowOff>
        </xdr:from>
        <xdr:to>
          <xdr:col>0</xdr:col>
          <xdr:colOff>819150</xdr:colOff>
          <xdr:row>101</xdr:row>
          <xdr:rowOff>0</xdr:rowOff>
        </xdr:to>
        <xdr:sp macro="" textlink="">
          <xdr:nvSpPr>
            <xdr:cNvPr id="10445" name="Option Button 205" hidden="1">
              <a:extLst>
                <a:ext uri="{63B3BB69-23CF-44E3-9099-C40C66FF867C}">
                  <a14:compatExt spid="_x0000_s10445"/>
                </a:ext>
                <a:ext uri="{FF2B5EF4-FFF2-40B4-BE49-F238E27FC236}">
                  <a16:creationId xmlns:a16="http://schemas.microsoft.com/office/drawing/2014/main" id="{00000000-0008-0000-0500-0000CD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581025</xdr:colOff>
          <xdr:row>104</xdr:row>
          <xdr:rowOff>0</xdr:rowOff>
        </xdr:from>
        <xdr:to>
          <xdr:col>0</xdr:col>
          <xdr:colOff>781050</xdr:colOff>
          <xdr:row>105</xdr:row>
          <xdr:rowOff>28575</xdr:rowOff>
        </xdr:to>
        <xdr:sp macro="" textlink="">
          <xdr:nvSpPr>
            <xdr:cNvPr id="10446" name="Option Button 206" hidden="1">
              <a:extLst>
                <a:ext uri="{63B3BB69-23CF-44E3-9099-C40C66FF867C}">
                  <a14:compatExt spid="_x0000_s10446"/>
                </a:ext>
                <a:ext uri="{FF2B5EF4-FFF2-40B4-BE49-F238E27FC236}">
                  <a16:creationId xmlns:a16="http://schemas.microsoft.com/office/drawing/2014/main" id="{00000000-0008-0000-0500-0000CE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107</xdr:row>
          <xdr:rowOff>180975</xdr:rowOff>
        </xdr:from>
        <xdr:to>
          <xdr:col>0</xdr:col>
          <xdr:colOff>771525</xdr:colOff>
          <xdr:row>109</xdr:row>
          <xdr:rowOff>19050</xdr:rowOff>
        </xdr:to>
        <xdr:sp macro="" textlink="">
          <xdr:nvSpPr>
            <xdr:cNvPr id="10447" name="Option Button 207" hidden="1">
              <a:extLst>
                <a:ext uri="{63B3BB69-23CF-44E3-9099-C40C66FF867C}">
                  <a14:compatExt spid="_x0000_s10447"/>
                </a:ext>
                <a:ext uri="{FF2B5EF4-FFF2-40B4-BE49-F238E27FC236}">
                  <a16:creationId xmlns:a16="http://schemas.microsoft.com/office/drawing/2014/main" id="{00000000-0008-0000-0500-0000CF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542925</xdr:colOff>
          <xdr:row>113</xdr:row>
          <xdr:rowOff>161925</xdr:rowOff>
        </xdr:from>
        <xdr:to>
          <xdr:col>0</xdr:col>
          <xdr:colOff>771525</xdr:colOff>
          <xdr:row>114</xdr:row>
          <xdr:rowOff>171450</xdr:rowOff>
        </xdr:to>
        <xdr:sp macro="" textlink="">
          <xdr:nvSpPr>
            <xdr:cNvPr id="10448" name="Option Button 208" hidden="1">
              <a:extLst>
                <a:ext uri="{63B3BB69-23CF-44E3-9099-C40C66FF867C}">
                  <a14:compatExt spid="_x0000_s10448"/>
                </a:ext>
                <a:ext uri="{FF2B5EF4-FFF2-40B4-BE49-F238E27FC236}">
                  <a16:creationId xmlns:a16="http://schemas.microsoft.com/office/drawing/2014/main" id="{00000000-0008-0000-0500-0000D0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117</xdr:row>
          <xdr:rowOff>171450</xdr:rowOff>
        </xdr:from>
        <xdr:to>
          <xdr:col>0</xdr:col>
          <xdr:colOff>790575</xdr:colOff>
          <xdr:row>119</xdr:row>
          <xdr:rowOff>0</xdr:rowOff>
        </xdr:to>
        <xdr:sp macro="" textlink="">
          <xdr:nvSpPr>
            <xdr:cNvPr id="10449" name="Option Button 209" hidden="1">
              <a:extLst>
                <a:ext uri="{63B3BB69-23CF-44E3-9099-C40C66FF867C}">
                  <a14:compatExt spid="_x0000_s10449"/>
                </a:ext>
                <a:ext uri="{FF2B5EF4-FFF2-40B4-BE49-F238E27FC236}">
                  <a16:creationId xmlns:a16="http://schemas.microsoft.com/office/drawing/2014/main" id="{00000000-0008-0000-0500-0000D1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552450</xdr:colOff>
          <xdr:row>120</xdr:row>
          <xdr:rowOff>190500</xdr:rowOff>
        </xdr:from>
        <xdr:to>
          <xdr:col>0</xdr:col>
          <xdr:colOff>762000</xdr:colOff>
          <xdr:row>122</xdr:row>
          <xdr:rowOff>19050</xdr:rowOff>
        </xdr:to>
        <xdr:sp macro="" textlink="">
          <xdr:nvSpPr>
            <xdr:cNvPr id="10450" name="Option Button 210" hidden="1">
              <a:extLst>
                <a:ext uri="{63B3BB69-23CF-44E3-9099-C40C66FF867C}">
                  <a14:compatExt spid="_x0000_s10450"/>
                </a:ext>
                <a:ext uri="{FF2B5EF4-FFF2-40B4-BE49-F238E27FC236}">
                  <a16:creationId xmlns:a16="http://schemas.microsoft.com/office/drawing/2014/main" id="{00000000-0008-0000-05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542925</xdr:colOff>
          <xdr:row>122</xdr:row>
          <xdr:rowOff>171450</xdr:rowOff>
        </xdr:from>
        <xdr:to>
          <xdr:col>0</xdr:col>
          <xdr:colOff>752475</xdr:colOff>
          <xdr:row>124</xdr:row>
          <xdr:rowOff>9525</xdr:rowOff>
        </xdr:to>
        <xdr:sp macro="" textlink="">
          <xdr:nvSpPr>
            <xdr:cNvPr id="10451" name="Option Button 211" hidden="1">
              <a:extLst>
                <a:ext uri="{63B3BB69-23CF-44E3-9099-C40C66FF867C}">
                  <a14:compatExt spid="_x0000_s10451"/>
                </a:ext>
                <a:ext uri="{FF2B5EF4-FFF2-40B4-BE49-F238E27FC236}">
                  <a16:creationId xmlns:a16="http://schemas.microsoft.com/office/drawing/2014/main" id="{00000000-0008-0000-05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542925</xdr:colOff>
          <xdr:row>125</xdr:row>
          <xdr:rowOff>152400</xdr:rowOff>
        </xdr:from>
        <xdr:to>
          <xdr:col>0</xdr:col>
          <xdr:colOff>752475</xdr:colOff>
          <xdr:row>126</xdr:row>
          <xdr:rowOff>180975</xdr:rowOff>
        </xdr:to>
        <xdr:sp macro="" textlink="">
          <xdr:nvSpPr>
            <xdr:cNvPr id="10452" name="Option Button 212" hidden="1">
              <a:extLst>
                <a:ext uri="{63B3BB69-23CF-44E3-9099-C40C66FF867C}">
                  <a14:compatExt spid="_x0000_s10452"/>
                </a:ext>
                <a:ext uri="{FF2B5EF4-FFF2-40B4-BE49-F238E27FC236}">
                  <a16:creationId xmlns:a16="http://schemas.microsoft.com/office/drawing/2014/main" id="{00000000-0008-0000-05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581025</xdr:colOff>
          <xdr:row>140</xdr:row>
          <xdr:rowOff>9525</xdr:rowOff>
        </xdr:from>
        <xdr:to>
          <xdr:col>0</xdr:col>
          <xdr:colOff>819150</xdr:colOff>
          <xdr:row>141</xdr:row>
          <xdr:rowOff>38100</xdr:rowOff>
        </xdr:to>
        <xdr:sp macro="" textlink="">
          <xdr:nvSpPr>
            <xdr:cNvPr id="10453" name="Check Box 213" hidden="1">
              <a:extLst>
                <a:ext uri="{63B3BB69-23CF-44E3-9099-C40C66FF867C}">
                  <a14:compatExt spid="_x0000_s10453"/>
                </a:ext>
                <a:ext uri="{FF2B5EF4-FFF2-40B4-BE49-F238E27FC236}">
                  <a16:creationId xmlns:a16="http://schemas.microsoft.com/office/drawing/2014/main" id="{00000000-0008-0000-0500-0000D5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142</xdr:row>
          <xdr:rowOff>9525</xdr:rowOff>
        </xdr:from>
        <xdr:to>
          <xdr:col>0</xdr:col>
          <xdr:colOff>809625</xdr:colOff>
          <xdr:row>143</xdr:row>
          <xdr:rowOff>38100</xdr:rowOff>
        </xdr:to>
        <xdr:sp macro="" textlink="">
          <xdr:nvSpPr>
            <xdr:cNvPr id="10454" name="Check Box 214" hidden="1">
              <a:extLst>
                <a:ext uri="{63B3BB69-23CF-44E3-9099-C40C66FF867C}">
                  <a14:compatExt spid="_x0000_s10454"/>
                </a:ext>
                <a:ext uri="{FF2B5EF4-FFF2-40B4-BE49-F238E27FC236}">
                  <a16:creationId xmlns:a16="http://schemas.microsoft.com/office/drawing/2014/main" id="{00000000-0008-0000-0500-0000D6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581025</xdr:colOff>
          <xdr:row>143</xdr:row>
          <xdr:rowOff>190500</xdr:rowOff>
        </xdr:from>
        <xdr:to>
          <xdr:col>0</xdr:col>
          <xdr:colOff>800100</xdr:colOff>
          <xdr:row>145</xdr:row>
          <xdr:rowOff>28575</xdr:rowOff>
        </xdr:to>
        <xdr:sp macro="" textlink="">
          <xdr:nvSpPr>
            <xdr:cNvPr id="10455" name="Check Box 215" hidden="1">
              <a:extLst>
                <a:ext uri="{63B3BB69-23CF-44E3-9099-C40C66FF867C}">
                  <a14:compatExt spid="_x0000_s10455"/>
                </a:ext>
                <a:ext uri="{FF2B5EF4-FFF2-40B4-BE49-F238E27FC236}">
                  <a16:creationId xmlns:a16="http://schemas.microsoft.com/office/drawing/2014/main" id="{00000000-0008-0000-0500-0000D7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581025</xdr:colOff>
          <xdr:row>148</xdr:row>
          <xdr:rowOff>9525</xdr:rowOff>
        </xdr:from>
        <xdr:to>
          <xdr:col>0</xdr:col>
          <xdr:colOff>809625</xdr:colOff>
          <xdr:row>149</xdr:row>
          <xdr:rowOff>38100</xdr:rowOff>
        </xdr:to>
        <xdr:sp macro="" textlink="">
          <xdr:nvSpPr>
            <xdr:cNvPr id="10456" name="Check Box 216" hidden="1">
              <a:extLst>
                <a:ext uri="{63B3BB69-23CF-44E3-9099-C40C66FF867C}">
                  <a14:compatExt spid="_x0000_s10456"/>
                </a:ext>
                <a:ext uri="{FF2B5EF4-FFF2-40B4-BE49-F238E27FC236}">
                  <a16:creationId xmlns:a16="http://schemas.microsoft.com/office/drawing/2014/main" id="{00000000-0008-0000-0500-0000D82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50800</xdr:colOff>
      <xdr:row>0</xdr:row>
      <xdr:rowOff>12700</xdr:rowOff>
    </xdr:from>
    <xdr:to>
      <xdr:col>2</xdr:col>
      <xdr:colOff>207401</xdr:colOff>
      <xdr:row>1</xdr:row>
      <xdr:rowOff>118904</xdr:rowOff>
    </xdr:to>
    <xdr:pic>
      <xdr:nvPicPr>
        <xdr:cNvPr id="46" name="Picture 45">
          <a:hlinkClick xmlns:r="http://schemas.openxmlformats.org/officeDocument/2006/relationships" r:id="rId26"/>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50800" y="12700"/>
          <a:ext cx="1432951" cy="29670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66675</xdr:colOff>
          <xdr:row>23</xdr:row>
          <xdr:rowOff>9525</xdr:rowOff>
        </xdr:from>
        <xdr:to>
          <xdr:col>4</xdr:col>
          <xdr:colOff>276225</xdr:colOff>
          <xdr:row>23</xdr:row>
          <xdr:rowOff>180975</xdr:rowOff>
        </xdr:to>
        <xdr:sp macro="" textlink="">
          <xdr:nvSpPr>
            <xdr:cNvPr id="10458" name="Option Button 218" hidden="1">
              <a:extLst>
                <a:ext uri="{63B3BB69-23CF-44E3-9099-C40C66FF867C}">
                  <a14:compatExt spid="_x0000_s10458"/>
                </a:ext>
                <a:ext uri="{FF2B5EF4-FFF2-40B4-BE49-F238E27FC236}">
                  <a16:creationId xmlns:a16="http://schemas.microsoft.com/office/drawing/2014/main" id="{00000000-0008-0000-0500-0000DA28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38100</xdr:colOff>
      <xdr:row>2</xdr:row>
      <xdr:rowOff>6350</xdr:rowOff>
    </xdr:from>
    <xdr:to>
      <xdr:col>10</xdr:col>
      <xdr:colOff>6350</xdr:colOff>
      <xdr:row>2</xdr:row>
      <xdr:rowOff>234950</xdr:rowOff>
    </xdr:to>
    <xdr:sp macro="" textlink="">
      <xdr:nvSpPr>
        <xdr:cNvPr id="3" name="Rectangle: Rounded Corners 2">
          <a:extLst>
            <a:ext uri="{FF2B5EF4-FFF2-40B4-BE49-F238E27FC236}">
              <a16:creationId xmlns:a16="http://schemas.microsoft.com/office/drawing/2014/main" id="{00000000-0008-0000-0500-000003000000}"/>
            </a:ext>
          </a:extLst>
        </xdr:cNvPr>
        <xdr:cNvSpPr/>
      </xdr:nvSpPr>
      <xdr:spPr>
        <a:xfrm>
          <a:off x="4552950" y="514350"/>
          <a:ext cx="1911350" cy="228600"/>
        </a:xfrm>
        <a:prstGeom prst="roundRect">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endParaRPr lang="sv-SE" sz="800" b="1">
            <a:solidFill>
              <a:sysClr val="windowText" lastClr="000000"/>
            </a:solidFill>
            <a:effectLst/>
          </a:endParaRPr>
        </a:p>
      </xdr:txBody>
    </xdr:sp>
    <xdr:clientData/>
  </xdr:twoCellAnchor>
  <xdr:twoCellAnchor>
    <xdr:from>
      <xdr:col>7</xdr:col>
      <xdr:colOff>63500</xdr:colOff>
      <xdr:row>3</xdr:row>
      <xdr:rowOff>76200</xdr:rowOff>
    </xdr:from>
    <xdr:to>
      <xdr:col>9</xdr:col>
      <xdr:colOff>628650</xdr:colOff>
      <xdr:row>8</xdr:row>
      <xdr:rowOff>184150</xdr:rowOff>
    </xdr:to>
    <xdr:sp macro="" textlink="">
      <xdr:nvSpPr>
        <xdr:cNvPr id="4" name="Rectangle: Rounded Corners 3">
          <a:extLst>
            <a:ext uri="{FF2B5EF4-FFF2-40B4-BE49-F238E27FC236}">
              <a16:creationId xmlns:a16="http://schemas.microsoft.com/office/drawing/2014/main" id="{00000000-0008-0000-0500-000004000000}"/>
            </a:ext>
          </a:extLst>
        </xdr:cNvPr>
        <xdr:cNvSpPr/>
      </xdr:nvSpPr>
      <xdr:spPr>
        <a:xfrm>
          <a:off x="4578350" y="844550"/>
          <a:ext cx="1860550" cy="958850"/>
        </a:xfrm>
        <a:prstGeom prst="roundRect">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endParaRPr lang="sv-SE" sz="800" b="1">
            <a:solidFill>
              <a:sysClr val="windowText" lastClr="000000"/>
            </a:solidFill>
            <a:effectLst/>
          </a:endParaRPr>
        </a:p>
      </xdr:txBody>
    </xdr:sp>
    <xdr:clientData/>
  </xdr:twoCellAnchor>
  <xdr:twoCellAnchor>
    <xdr:from>
      <xdr:col>3</xdr:col>
      <xdr:colOff>622300</xdr:colOff>
      <xdr:row>61</xdr:row>
      <xdr:rowOff>19050</xdr:rowOff>
    </xdr:from>
    <xdr:to>
      <xdr:col>7</xdr:col>
      <xdr:colOff>107950</xdr:colOff>
      <xdr:row>62</xdr:row>
      <xdr:rowOff>158750</xdr:rowOff>
    </xdr:to>
    <xdr:sp macro="" textlink="">
      <xdr:nvSpPr>
        <xdr:cNvPr id="5" name="Rectangle: Rounded Corners 4">
          <a:extLst>
            <a:ext uri="{FF2B5EF4-FFF2-40B4-BE49-F238E27FC236}">
              <a16:creationId xmlns:a16="http://schemas.microsoft.com/office/drawing/2014/main" id="{00000000-0008-0000-0500-000005000000}"/>
            </a:ext>
          </a:extLst>
        </xdr:cNvPr>
        <xdr:cNvSpPr/>
      </xdr:nvSpPr>
      <xdr:spPr>
        <a:xfrm>
          <a:off x="2546350" y="11734800"/>
          <a:ext cx="2076450" cy="33020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3</xdr:col>
          <xdr:colOff>571500</xdr:colOff>
          <xdr:row>67</xdr:row>
          <xdr:rowOff>180975</xdr:rowOff>
        </xdr:from>
        <xdr:to>
          <xdr:col>4</xdr:col>
          <xdr:colOff>161925</xdr:colOff>
          <xdr:row>69</xdr:row>
          <xdr:rowOff>9525</xdr:rowOff>
        </xdr:to>
        <xdr:sp macro="" textlink="">
          <xdr:nvSpPr>
            <xdr:cNvPr id="10460" name="Option Button 220" hidden="1">
              <a:extLst>
                <a:ext uri="{63B3BB69-23CF-44E3-9099-C40C66FF867C}">
                  <a14:compatExt spid="_x0000_s10460"/>
                </a:ext>
                <a:ext uri="{FF2B5EF4-FFF2-40B4-BE49-F238E27FC236}">
                  <a16:creationId xmlns:a16="http://schemas.microsoft.com/office/drawing/2014/main" id="{00000000-0008-0000-05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38100</xdr:colOff>
      <xdr:row>15</xdr:row>
      <xdr:rowOff>6350</xdr:rowOff>
    </xdr:from>
    <xdr:to>
      <xdr:col>0</xdr:col>
      <xdr:colOff>673100</xdr:colOff>
      <xdr:row>18</xdr:row>
      <xdr:rowOff>127000</xdr:rowOff>
    </xdr:to>
    <xdr:sp macro="" textlink="">
      <xdr:nvSpPr>
        <xdr:cNvPr id="2" name="Rectangle: Rounded Corners 1">
          <a:extLst>
            <a:ext uri="{FF2B5EF4-FFF2-40B4-BE49-F238E27FC236}">
              <a16:creationId xmlns:a16="http://schemas.microsoft.com/office/drawing/2014/main" id="{6A2478C6-5D1A-4C93-89BF-4B5C42F963AB}"/>
            </a:ext>
          </a:extLst>
        </xdr:cNvPr>
        <xdr:cNvSpPr/>
      </xdr:nvSpPr>
      <xdr:spPr>
        <a:xfrm>
          <a:off x="38100" y="2959100"/>
          <a:ext cx="635000" cy="692150"/>
        </a:xfrm>
        <a:prstGeom prst="roundRect">
          <a:avLst/>
        </a:prstGeom>
        <a:blipFill>
          <a:blip xmlns:r="http://schemas.openxmlformats.org/officeDocument/2006/relationships" r:embed="rId28"/>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31750</xdr:colOff>
      <xdr:row>26</xdr:row>
      <xdr:rowOff>177800</xdr:rowOff>
    </xdr:from>
    <xdr:to>
      <xdr:col>0</xdr:col>
      <xdr:colOff>647700</xdr:colOff>
      <xdr:row>30</xdr:row>
      <xdr:rowOff>57150</xdr:rowOff>
    </xdr:to>
    <xdr:sp macro="" textlink="">
      <xdr:nvSpPr>
        <xdr:cNvPr id="6" name="Rectangle: Rounded Corners 5">
          <a:extLst>
            <a:ext uri="{FF2B5EF4-FFF2-40B4-BE49-F238E27FC236}">
              <a16:creationId xmlns:a16="http://schemas.microsoft.com/office/drawing/2014/main" id="{FDE0D9CC-08DE-4D52-9DB7-90D100BEFA84}"/>
            </a:ext>
          </a:extLst>
        </xdr:cNvPr>
        <xdr:cNvSpPr/>
      </xdr:nvSpPr>
      <xdr:spPr>
        <a:xfrm>
          <a:off x="31750" y="5226050"/>
          <a:ext cx="615950" cy="641350"/>
        </a:xfrm>
        <a:prstGeom prst="roundRect">
          <a:avLst/>
        </a:prstGeom>
        <a:blipFill>
          <a:blip xmlns:r="http://schemas.openxmlformats.org/officeDocument/2006/relationships" r:embed="rId29"/>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114300</xdr:colOff>
      <xdr:row>26</xdr:row>
      <xdr:rowOff>127000</xdr:rowOff>
    </xdr:from>
    <xdr:to>
      <xdr:col>8</xdr:col>
      <xdr:colOff>190500</xdr:colOff>
      <xdr:row>30</xdr:row>
      <xdr:rowOff>63500</xdr:rowOff>
    </xdr:to>
    <xdr:sp macro="" textlink="">
      <xdr:nvSpPr>
        <xdr:cNvPr id="8" name="Rectangle: Rounded Corners 7">
          <a:extLst>
            <a:ext uri="{FF2B5EF4-FFF2-40B4-BE49-F238E27FC236}">
              <a16:creationId xmlns:a16="http://schemas.microsoft.com/office/drawing/2014/main" id="{8125A633-788E-4236-BFFE-E32D7C48F2DE}"/>
            </a:ext>
          </a:extLst>
        </xdr:cNvPr>
        <xdr:cNvSpPr/>
      </xdr:nvSpPr>
      <xdr:spPr>
        <a:xfrm>
          <a:off x="4629150" y="5175250"/>
          <a:ext cx="723900" cy="698500"/>
        </a:xfrm>
        <a:prstGeom prst="roundRect">
          <a:avLst/>
        </a:prstGeom>
        <a:blipFill>
          <a:blip xmlns:r="http://schemas.openxmlformats.org/officeDocument/2006/relationships" r:embed="rId30"/>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57150</xdr:colOff>
      <xdr:row>82</xdr:row>
      <xdr:rowOff>0</xdr:rowOff>
    </xdr:from>
    <xdr:to>
      <xdr:col>0</xdr:col>
      <xdr:colOff>789842</xdr:colOff>
      <xdr:row>85</xdr:row>
      <xdr:rowOff>73269</xdr:rowOff>
    </xdr:to>
    <xdr:sp macro="" textlink="">
      <xdr:nvSpPr>
        <xdr:cNvPr id="44" name="Rectangle: Rounded Corners 43">
          <a:extLst>
            <a:ext uri="{FF2B5EF4-FFF2-40B4-BE49-F238E27FC236}">
              <a16:creationId xmlns:a16="http://schemas.microsoft.com/office/drawing/2014/main" id="{FDE39634-6184-4988-87CA-B4635F5A3E5A}"/>
            </a:ext>
          </a:extLst>
        </xdr:cNvPr>
        <xdr:cNvSpPr/>
      </xdr:nvSpPr>
      <xdr:spPr>
        <a:xfrm>
          <a:off x="57150" y="15811500"/>
          <a:ext cx="732692" cy="657469"/>
        </a:xfrm>
        <a:prstGeom prst="roundRect">
          <a:avLst/>
        </a:prstGeom>
        <a:blipFill>
          <a:blip xmlns:r="http://schemas.openxmlformats.org/officeDocument/2006/relationships" r:embed="rId31"/>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6</xdr:col>
      <xdr:colOff>76200</xdr:colOff>
      <xdr:row>81</xdr:row>
      <xdr:rowOff>158750</xdr:rowOff>
    </xdr:from>
    <xdr:to>
      <xdr:col>7</xdr:col>
      <xdr:colOff>222250</xdr:colOff>
      <xdr:row>85</xdr:row>
      <xdr:rowOff>173403</xdr:rowOff>
    </xdr:to>
    <xdr:sp macro="" textlink="">
      <xdr:nvSpPr>
        <xdr:cNvPr id="45" name="Rectangle: Rounded Corners 44">
          <a:extLst>
            <a:ext uri="{FF2B5EF4-FFF2-40B4-BE49-F238E27FC236}">
              <a16:creationId xmlns:a16="http://schemas.microsoft.com/office/drawing/2014/main" id="{7B9F3771-3CFB-436D-806C-E708CFCE22B8}"/>
            </a:ext>
          </a:extLst>
        </xdr:cNvPr>
        <xdr:cNvSpPr/>
      </xdr:nvSpPr>
      <xdr:spPr>
        <a:xfrm>
          <a:off x="3943350" y="15779750"/>
          <a:ext cx="793750" cy="789353"/>
        </a:xfrm>
        <a:prstGeom prst="roundRect">
          <a:avLst/>
        </a:prstGeom>
        <a:blipFill>
          <a:blip xmlns:r="http://schemas.openxmlformats.org/officeDocument/2006/relationships" r:embed="rId32"/>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63500</xdr:colOff>
      <xdr:row>93</xdr:row>
      <xdr:rowOff>50800</xdr:rowOff>
    </xdr:from>
    <xdr:to>
      <xdr:col>1</xdr:col>
      <xdr:colOff>89389</xdr:colOff>
      <xdr:row>98</xdr:row>
      <xdr:rowOff>21492</xdr:rowOff>
    </xdr:to>
    <xdr:sp macro="" textlink="">
      <xdr:nvSpPr>
        <xdr:cNvPr id="47" name="Rectangle: Rounded Corners 46">
          <a:extLst>
            <a:ext uri="{FF2B5EF4-FFF2-40B4-BE49-F238E27FC236}">
              <a16:creationId xmlns:a16="http://schemas.microsoft.com/office/drawing/2014/main" id="{A3B3952C-D672-4CD1-B91E-EEA7B1422978}"/>
            </a:ext>
          </a:extLst>
        </xdr:cNvPr>
        <xdr:cNvSpPr/>
      </xdr:nvSpPr>
      <xdr:spPr>
        <a:xfrm>
          <a:off x="63500" y="18008600"/>
          <a:ext cx="864089" cy="923192"/>
        </a:xfrm>
        <a:prstGeom prst="roundRect">
          <a:avLst/>
        </a:prstGeom>
        <a:blipFill>
          <a:blip xmlns:r="http://schemas.openxmlformats.org/officeDocument/2006/relationships" r:embed="rId33"/>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6</xdr:col>
      <xdr:colOff>114300</xdr:colOff>
      <xdr:row>142</xdr:row>
      <xdr:rowOff>25400</xdr:rowOff>
    </xdr:from>
    <xdr:to>
      <xdr:col>7</xdr:col>
      <xdr:colOff>146050</xdr:colOff>
      <xdr:row>145</xdr:row>
      <xdr:rowOff>95250</xdr:rowOff>
    </xdr:to>
    <xdr:sp macro="" textlink="">
      <xdr:nvSpPr>
        <xdr:cNvPr id="10373" name="Rectangle: Rounded Corners 10372">
          <a:extLst>
            <a:ext uri="{FF2B5EF4-FFF2-40B4-BE49-F238E27FC236}">
              <a16:creationId xmlns:a16="http://schemas.microsoft.com/office/drawing/2014/main" id="{4E6D1A7B-AE40-4C86-9657-4502689FAA18}"/>
            </a:ext>
          </a:extLst>
        </xdr:cNvPr>
        <xdr:cNvSpPr/>
      </xdr:nvSpPr>
      <xdr:spPr>
        <a:xfrm>
          <a:off x="3981450" y="27406600"/>
          <a:ext cx="679450" cy="641350"/>
        </a:xfrm>
        <a:prstGeom prst="roundRect">
          <a:avLst/>
        </a:prstGeom>
        <a:blipFill>
          <a:blip xmlns:r="http://schemas.openxmlformats.org/officeDocument/2006/relationships" r:embed="rId34"/>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50800</xdr:colOff>
      <xdr:row>153</xdr:row>
      <xdr:rowOff>6350</xdr:rowOff>
    </xdr:from>
    <xdr:to>
      <xdr:col>0</xdr:col>
      <xdr:colOff>806450</xdr:colOff>
      <xdr:row>157</xdr:row>
      <xdr:rowOff>12700</xdr:rowOff>
    </xdr:to>
    <xdr:sp macro="" textlink="">
      <xdr:nvSpPr>
        <xdr:cNvPr id="10385" name="Rectangle: Rounded Corners 10384">
          <a:extLst>
            <a:ext uri="{FF2B5EF4-FFF2-40B4-BE49-F238E27FC236}">
              <a16:creationId xmlns:a16="http://schemas.microsoft.com/office/drawing/2014/main" id="{FFDA7FF7-BC26-4848-83FB-05FAD163166C}"/>
            </a:ext>
          </a:extLst>
        </xdr:cNvPr>
        <xdr:cNvSpPr/>
      </xdr:nvSpPr>
      <xdr:spPr>
        <a:xfrm>
          <a:off x="50800" y="29495750"/>
          <a:ext cx="755650" cy="781050"/>
        </a:xfrm>
        <a:prstGeom prst="roundRect">
          <a:avLst/>
        </a:prstGeom>
        <a:blipFill>
          <a:blip xmlns:r="http://schemas.openxmlformats.org/officeDocument/2006/relationships" r:embed="rId35"/>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558800</xdr:colOff>
      <xdr:row>153</xdr:row>
      <xdr:rowOff>12700</xdr:rowOff>
    </xdr:from>
    <xdr:to>
      <xdr:col>5</xdr:col>
      <xdr:colOff>19050</xdr:colOff>
      <xdr:row>157</xdr:row>
      <xdr:rowOff>19050</xdr:rowOff>
    </xdr:to>
    <xdr:sp macro="" textlink="">
      <xdr:nvSpPr>
        <xdr:cNvPr id="10387" name="Rectangle: Rounded Corners 10386">
          <a:extLst>
            <a:ext uri="{FF2B5EF4-FFF2-40B4-BE49-F238E27FC236}">
              <a16:creationId xmlns:a16="http://schemas.microsoft.com/office/drawing/2014/main" id="{C1853FE5-7458-4885-87F8-81CA5A2AFBC7}"/>
            </a:ext>
          </a:extLst>
        </xdr:cNvPr>
        <xdr:cNvSpPr/>
      </xdr:nvSpPr>
      <xdr:spPr>
        <a:xfrm>
          <a:off x="2482850" y="29502100"/>
          <a:ext cx="755650" cy="781050"/>
        </a:xfrm>
        <a:prstGeom prst="roundRect">
          <a:avLst/>
        </a:prstGeom>
        <a:blipFill>
          <a:blip xmlns:r="http://schemas.openxmlformats.org/officeDocument/2006/relationships" r:embed="rId36"/>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63500</xdr:colOff>
      <xdr:row>159</xdr:row>
      <xdr:rowOff>107950</xdr:rowOff>
    </xdr:from>
    <xdr:to>
      <xdr:col>0</xdr:col>
      <xdr:colOff>819150</xdr:colOff>
      <xdr:row>163</xdr:row>
      <xdr:rowOff>114300</xdr:rowOff>
    </xdr:to>
    <xdr:sp macro="" textlink="">
      <xdr:nvSpPr>
        <xdr:cNvPr id="10400" name="Rectangle: Rounded Corners 10399">
          <a:extLst>
            <a:ext uri="{FF2B5EF4-FFF2-40B4-BE49-F238E27FC236}">
              <a16:creationId xmlns:a16="http://schemas.microsoft.com/office/drawing/2014/main" id="{0E54B480-C265-4C67-823C-772859200358}"/>
            </a:ext>
          </a:extLst>
        </xdr:cNvPr>
        <xdr:cNvSpPr/>
      </xdr:nvSpPr>
      <xdr:spPr>
        <a:xfrm>
          <a:off x="63500" y="30753050"/>
          <a:ext cx="755650" cy="781050"/>
        </a:xfrm>
        <a:prstGeom prst="roundRect">
          <a:avLst/>
        </a:prstGeom>
        <a:blipFill>
          <a:blip xmlns:r="http://schemas.openxmlformats.org/officeDocument/2006/relationships" r:embed="rId37"/>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5</xdr:col>
      <xdr:colOff>196850</xdr:colOff>
      <xdr:row>162</xdr:row>
      <xdr:rowOff>107950</xdr:rowOff>
    </xdr:from>
    <xdr:to>
      <xdr:col>6</xdr:col>
      <xdr:colOff>101600</xdr:colOff>
      <xdr:row>164</xdr:row>
      <xdr:rowOff>158750</xdr:rowOff>
    </xdr:to>
    <xdr:sp macro="" textlink="">
      <xdr:nvSpPr>
        <xdr:cNvPr id="10411" name="Rectangle: Rounded Corners 10410">
          <a:extLst>
            <a:ext uri="{FF2B5EF4-FFF2-40B4-BE49-F238E27FC236}">
              <a16:creationId xmlns:a16="http://schemas.microsoft.com/office/drawing/2014/main" id="{C216317E-E91E-4E3E-9A46-5814083FBD83}"/>
            </a:ext>
          </a:extLst>
        </xdr:cNvPr>
        <xdr:cNvSpPr/>
      </xdr:nvSpPr>
      <xdr:spPr>
        <a:xfrm>
          <a:off x="3416300" y="31337250"/>
          <a:ext cx="552450" cy="431800"/>
        </a:xfrm>
        <a:prstGeom prst="roundRect">
          <a:avLst/>
        </a:prstGeom>
        <a:blipFill>
          <a:blip xmlns:r="http://schemas.openxmlformats.org/officeDocument/2006/relationships" r:embed="rId38"/>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20.xml"/><Relationship Id="rId21" Type="http://schemas.openxmlformats.org/officeDocument/2006/relationships/hyperlink" Target="https://www.panthera.se/webpages/tillbehor_freewheel.html" TargetMode="External"/><Relationship Id="rId42" Type="http://schemas.openxmlformats.org/officeDocument/2006/relationships/hyperlink" Target="https://www.panthera.se/webpages/delar_rygg_all_S3.html" TargetMode="External"/><Relationship Id="rId63" Type="http://schemas.openxmlformats.org/officeDocument/2006/relationships/hyperlink" Target="https://www.panthera.se/webpages/tillbehor_kryckhallare_S3.html" TargetMode="External"/><Relationship Id="rId84" Type="http://schemas.openxmlformats.org/officeDocument/2006/relationships/hyperlink" Target="https://www.panthera.se/webpages/delar_bakaxel_carbon.html" TargetMode="External"/><Relationship Id="rId138" Type="http://schemas.openxmlformats.org/officeDocument/2006/relationships/ctrlProp" Target="../ctrlProps/ctrlProp41.xml"/><Relationship Id="rId159" Type="http://schemas.openxmlformats.org/officeDocument/2006/relationships/ctrlProp" Target="../ctrlProps/ctrlProp62.xml"/><Relationship Id="rId170" Type="http://schemas.openxmlformats.org/officeDocument/2006/relationships/ctrlProp" Target="../ctrlProps/ctrlProp73.xml"/><Relationship Id="rId191" Type="http://schemas.openxmlformats.org/officeDocument/2006/relationships/ctrlProp" Target="../ctrlProps/ctrlProp94.xml"/><Relationship Id="rId205" Type="http://schemas.openxmlformats.org/officeDocument/2006/relationships/ctrlProp" Target="../ctrlProps/ctrlProp108.xml"/><Relationship Id="rId226" Type="http://schemas.openxmlformats.org/officeDocument/2006/relationships/ctrlProp" Target="../ctrlProps/ctrlProp129.xml"/><Relationship Id="rId247" Type="http://schemas.openxmlformats.org/officeDocument/2006/relationships/ctrlProp" Target="../ctrlProps/ctrlProp150.xml"/><Relationship Id="rId107" Type="http://schemas.openxmlformats.org/officeDocument/2006/relationships/ctrlProp" Target="../ctrlProps/ctrlProp10.xml"/><Relationship Id="rId11" Type="http://schemas.openxmlformats.org/officeDocument/2006/relationships/hyperlink" Target="https://www.panthera.se/webpages/delar_drivhjul_enhand.html" TargetMode="External"/><Relationship Id="rId32" Type="http://schemas.openxmlformats.org/officeDocument/2006/relationships/hyperlink" Target="https://www.panthera.se/webpages/delar_drivring_tetragrip.html" TargetMode="External"/><Relationship Id="rId53" Type="http://schemas.openxmlformats.org/officeDocument/2006/relationships/hyperlink" Target="https://www.panthera.se/webpages/tillbehor_ekerskydd_utantryck.html" TargetMode="External"/><Relationship Id="rId74" Type="http://schemas.openxmlformats.org/officeDocument/2006/relationships/hyperlink" Target="https://www.panthera.se/products/produkt_S3_large.html" TargetMode="External"/><Relationship Id="rId128" Type="http://schemas.openxmlformats.org/officeDocument/2006/relationships/ctrlProp" Target="../ctrlProps/ctrlProp31.xml"/><Relationship Id="rId149" Type="http://schemas.openxmlformats.org/officeDocument/2006/relationships/ctrlProp" Target="../ctrlProps/ctrlProp52.xml"/><Relationship Id="rId5" Type="http://schemas.openxmlformats.org/officeDocument/2006/relationships/hyperlink" Target="https://www.panthera.se/webpages/delar_bakaxel_carbon.html" TargetMode="External"/><Relationship Id="rId95" Type="http://schemas.openxmlformats.org/officeDocument/2006/relationships/printerSettings" Target="../printerSettings/printerSettings2.bin"/><Relationship Id="rId160" Type="http://schemas.openxmlformats.org/officeDocument/2006/relationships/ctrlProp" Target="../ctrlProps/ctrlProp63.xml"/><Relationship Id="rId181" Type="http://schemas.openxmlformats.org/officeDocument/2006/relationships/ctrlProp" Target="../ctrlProps/ctrlProp84.xml"/><Relationship Id="rId216" Type="http://schemas.openxmlformats.org/officeDocument/2006/relationships/ctrlProp" Target="../ctrlProps/ctrlProp119.xml"/><Relationship Id="rId237" Type="http://schemas.openxmlformats.org/officeDocument/2006/relationships/ctrlProp" Target="../ctrlProps/ctrlProp140.xml"/><Relationship Id="rId258" Type="http://schemas.openxmlformats.org/officeDocument/2006/relationships/ctrlProp" Target="../ctrlProps/ctrlProp161.xml"/><Relationship Id="rId22" Type="http://schemas.openxmlformats.org/officeDocument/2006/relationships/hyperlink" Target="https://www.panthera.se/webpages/tillbehor_freewheel.html" TargetMode="External"/><Relationship Id="rId43" Type="http://schemas.openxmlformats.org/officeDocument/2006/relationships/hyperlink" Target="https://www.panthera.se/webpages/utokatsortiment_ryggar_uu.html" TargetMode="External"/><Relationship Id="rId64" Type="http://schemas.openxmlformats.org/officeDocument/2006/relationships/hyperlink" Target="https://www.panthera.se/webpages/tillbehor_ryggkil.html" TargetMode="External"/><Relationship Id="rId118" Type="http://schemas.openxmlformats.org/officeDocument/2006/relationships/ctrlProp" Target="../ctrlProps/ctrlProp21.xml"/><Relationship Id="rId139" Type="http://schemas.openxmlformats.org/officeDocument/2006/relationships/ctrlProp" Target="../ctrlProps/ctrlProp42.xml"/><Relationship Id="rId85" Type="http://schemas.openxmlformats.org/officeDocument/2006/relationships/hyperlink" Target="https://www.panthera.se/webpages/delar_bakaxel.html" TargetMode="External"/><Relationship Id="rId150" Type="http://schemas.openxmlformats.org/officeDocument/2006/relationships/ctrlProp" Target="../ctrlProps/ctrlProp53.xml"/><Relationship Id="rId171" Type="http://schemas.openxmlformats.org/officeDocument/2006/relationships/ctrlProp" Target="../ctrlProps/ctrlProp74.xml"/><Relationship Id="rId192" Type="http://schemas.openxmlformats.org/officeDocument/2006/relationships/ctrlProp" Target="../ctrlProps/ctrlProp95.xml"/><Relationship Id="rId206" Type="http://schemas.openxmlformats.org/officeDocument/2006/relationships/ctrlProp" Target="../ctrlProps/ctrlProp109.xml"/><Relationship Id="rId227" Type="http://schemas.openxmlformats.org/officeDocument/2006/relationships/ctrlProp" Target="../ctrlProps/ctrlProp130.xml"/><Relationship Id="rId248" Type="http://schemas.openxmlformats.org/officeDocument/2006/relationships/ctrlProp" Target="../ctrlProps/ctrlProp151.xml"/><Relationship Id="rId12" Type="http://schemas.openxmlformats.org/officeDocument/2006/relationships/hyperlink" Target="https://www.panthera.se/webpages/delar_drivring_titan.html" TargetMode="External"/><Relationship Id="rId33" Type="http://schemas.openxmlformats.org/officeDocument/2006/relationships/hyperlink" Target="https://www.panthera.se/webpages/tillbehor_sidoskydd_carbon_S3.html" TargetMode="External"/><Relationship Id="rId108" Type="http://schemas.openxmlformats.org/officeDocument/2006/relationships/ctrlProp" Target="../ctrlProps/ctrlProp11.xml"/><Relationship Id="rId129" Type="http://schemas.openxmlformats.org/officeDocument/2006/relationships/ctrlProp" Target="../ctrlProps/ctrlProp32.xml"/><Relationship Id="rId54" Type="http://schemas.openxmlformats.org/officeDocument/2006/relationships/hyperlink" Target="https://www.panthera.se/webpages/tillbehor_korbage_S3.html" TargetMode="External"/><Relationship Id="rId75" Type="http://schemas.openxmlformats.org/officeDocument/2006/relationships/hyperlink" Target="https://www.panthera.se/products/produkt_S3_kort_lag.html" TargetMode="External"/><Relationship Id="rId96" Type="http://schemas.openxmlformats.org/officeDocument/2006/relationships/drawing" Target="../drawings/drawing2.xml"/><Relationship Id="rId140" Type="http://schemas.openxmlformats.org/officeDocument/2006/relationships/ctrlProp" Target="../ctrlProps/ctrlProp43.xml"/><Relationship Id="rId161" Type="http://schemas.openxmlformats.org/officeDocument/2006/relationships/ctrlProp" Target="../ctrlProps/ctrlProp64.xml"/><Relationship Id="rId182" Type="http://schemas.openxmlformats.org/officeDocument/2006/relationships/ctrlProp" Target="../ctrlProps/ctrlProp85.xml"/><Relationship Id="rId217" Type="http://schemas.openxmlformats.org/officeDocument/2006/relationships/ctrlProp" Target="../ctrlProps/ctrlProp120.xml"/><Relationship Id="rId6" Type="http://schemas.openxmlformats.org/officeDocument/2006/relationships/hyperlink" Target="https://www.panthera.se/webpages/delar_fotstod_std.html" TargetMode="External"/><Relationship Id="rId238" Type="http://schemas.openxmlformats.org/officeDocument/2006/relationships/ctrlProp" Target="../ctrlProps/ctrlProp141.xml"/><Relationship Id="rId259" Type="http://schemas.openxmlformats.org/officeDocument/2006/relationships/ctrlProp" Target="../ctrlProps/ctrlProp162.xml"/><Relationship Id="rId23" Type="http://schemas.openxmlformats.org/officeDocument/2006/relationships/hyperlink" Target="https://www.panthera.se/webpages/delar_framgaffel_S3.html" TargetMode="External"/><Relationship Id="rId119" Type="http://schemas.openxmlformats.org/officeDocument/2006/relationships/ctrlProp" Target="../ctrlProps/ctrlProp22.xml"/><Relationship Id="rId44" Type="http://schemas.openxmlformats.org/officeDocument/2006/relationships/hyperlink" Target="https://www.panthera.se/webpages/utokatsortiment_ryggar_bb_insv_S3.html" TargetMode="External"/><Relationship Id="rId65" Type="http://schemas.openxmlformats.org/officeDocument/2006/relationships/hyperlink" Target="https://www.panthera.se/en/delar_rygg_S3.html" TargetMode="External"/><Relationship Id="rId86" Type="http://schemas.openxmlformats.org/officeDocument/2006/relationships/hyperlink" Target="https://www.panthera.se/images/parts/dack_marathon_plus_1250.jpg" TargetMode="External"/><Relationship Id="rId130" Type="http://schemas.openxmlformats.org/officeDocument/2006/relationships/ctrlProp" Target="../ctrlProps/ctrlProp33.xml"/><Relationship Id="rId151" Type="http://schemas.openxmlformats.org/officeDocument/2006/relationships/ctrlProp" Target="../ctrlProps/ctrlProp54.xml"/><Relationship Id="rId172" Type="http://schemas.openxmlformats.org/officeDocument/2006/relationships/ctrlProp" Target="../ctrlProps/ctrlProp75.xml"/><Relationship Id="rId193" Type="http://schemas.openxmlformats.org/officeDocument/2006/relationships/ctrlProp" Target="../ctrlProps/ctrlProp96.xml"/><Relationship Id="rId207" Type="http://schemas.openxmlformats.org/officeDocument/2006/relationships/ctrlProp" Target="../ctrlProps/ctrlProp110.xml"/><Relationship Id="rId228" Type="http://schemas.openxmlformats.org/officeDocument/2006/relationships/ctrlProp" Target="../ctrlProps/ctrlProp131.xml"/><Relationship Id="rId249" Type="http://schemas.openxmlformats.org/officeDocument/2006/relationships/ctrlProp" Target="../ctrlProps/ctrlProp152.xml"/><Relationship Id="rId13" Type="http://schemas.openxmlformats.org/officeDocument/2006/relationships/hyperlink" Target="https://www.panthera.se/webpages/tillbehor_sidoskydd_S3.html" TargetMode="External"/><Relationship Id="rId109" Type="http://schemas.openxmlformats.org/officeDocument/2006/relationships/ctrlProp" Target="../ctrlProps/ctrlProp12.xml"/><Relationship Id="rId34" Type="http://schemas.openxmlformats.org/officeDocument/2006/relationships/hyperlink" Target="https://www.panthera.se/webpages/tillbehor_korbage_S3.html" TargetMode="External"/><Relationship Id="rId55" Type="http://schemas.openxmlformats.org/officeDocument/2006/relationships/hyperlink" Target="https://www.panthera.se/webpages/tillbehor_tippskydd_S3.html" TargetMode="External"/><Relationship Id="rId76" Type="http://schemas.openxmlformats.org/officeDocument/2006/relationships/hyperlink" Target="https://www.panthera.se/products/produkt_S3_kort.html" TargetMode="External"/><Relationship Id="rId97" Type="http://schemas.openxmlformats.org/officeDocument/2006/relationships/vmlDrawing" Target="../drawings/vmlDrawing1.vml"/><Relationship Id="rId120" Type="http://schemas.openxmlformats.org/officeDocument/2006/relationships/ctrlProp" Target="../ctrlProps/ctrlProp23.xml"/><Relationship Id="rId141" Type="http://schemas.openxmlformats.org/officeDocument/2006/relationships/ctrlProp" Target="../ctrlProps/ctrlProp44.xml"/><Relationship Id="rId7" Type="http://schemas.openxmlformats.org/officeDocument/2006/relationships/hyperlink" Target="https://www.panthera.se/en/delar_fotstod_S2_liten.html" TargetMode="External"/><Relationship Id="rId162" Type="http://schemas.openxmlformats.org/officeDocument/2006/relationships/ctrlProp" Target="../ctrlProps/ctrlProp65.xml"/><Relationship Id="rId183" Type="http://schemas.openxmlformats.org/officeDocument/2006/relationships/ctrlProp" Target="../ctrlProps/ctrlProp86.xml"/><Relationship Id="rId218" Type="http://schemas.openxmlformats.org/officeDocument/2006/relationships/ctrlProp" Target="../ctrlProps/ctrlProp121.xml"/><Relationship Id="rId239" Type="http://schemas.openxmlformats.org/officeDocument/2006/relationships/ctrlProp" Target="../ctrlProps/ctrlProp142.xml"/><Relationship Id="rId250" Type="http://schemas.openxmlformats.org/officeDocument/2006/relationships/ctrlProp" Target="../ctrlProps/ctrlProp153.xml"/><Relationship Id="rId24" Type="http://schemas.openxmlformats.org/officeDocument/2006/relationships/hyperlink" Target="https://www.panthera.se/webpages/delar_framgaffel_S3_150.html" TargetMode="External"/><Relationship Id="rId45" Type="http://schemas.openxmlformats.org/officeDocument/2006/relationships/hyperlink" Target="https://www.panthera.se/webpages/tillbehor_vardarbroms.html" TargetMode="External"/><Relationship Id="rId66" Type="http://schemas.openxmlformats.org/officeDocument/2006/relationships/hyperlink" Target="https://www.panthera.se/images/parts/S3_fotstod_pil.jpg" TargetMode="External"/><Relationship Id="rId87" Type="http://schemas.openxmlformats.org/officeDocument/2006/relationships/hyperlink" Target="https://www.panthera.se/images/parts/dack_grov_1250.jpg" TargetMode="External"/><Relationship Id="rId110" Type="http://schemas.openxmlformats.org/officeDocument/2006/relationships/ctrlProp" Target="../ctrlProps/ctrlProp13.xml"/><Relationship Id="rId131" Type="http://schemas.openxmlformats.org/officeDocument/2006/relationships/ctrlProp" Target="../ctrlProps/ctrlProp34.xml"/><Relationship Id="rId152" Type="http://schemas.openxmlformats.org/officeDocument/2006/relationships/ctrlProp" Target="../ctrlProps/ctrlProp55.xml"/><Relationship Id="rId173" Type="http://schemas.openxmlformats.org/officeDocument/2006/relationships/ctrlProp" Target="../ctrlProps/ctrlProp76.xml"/><Relationship Id="rId194" Type="http://schemas.openxmlformats.org/officeDocument/2006/relationships/ctrlProp" Target="../ctrlProps/ctrlProp97.xml"/><Relationship Id="rId208" Type="http://schemas.openxmlformats.org/officeDocument/2006/relationships/ctrlProp" Target="../ctrlProps/ctrlProp111.xml"/><Relationship Id="rId229" Type="http://schemas.openxmlformats.org/officeDocument/2006/relationships/ctrlProp" Target="../ctrlProps/ctrlProp132.xml"/><Relationship Id="rId240" Type="http://schemas.openxmlformats.org/officeDocument/2006/relationships/ctrlProp" Target="../ctrlProps/ctrlProp143.xml"/><Relationship Id="rId14" Type="http://schemas.openxmlformats.org/officeDocument/2006/relationships/hyperlink" Target="https://player.vimeo.com/video/141898362?title=0&amp;byline=0&amp;portrait=0" TargetMode="External"/><Relationship Id="rId35" Type="http://schemas.openxmlformats.org/officeDocument/2006/relationships/hyperlink" Target="https://www.panthera.se/webpages/delar_fotstod_carbon.html" TargetMode="External"/><Relationship Id="rId56" Type="http://schemas.openxmlformats.org/officeDocument/2006/relationships/hyperlink" Target="https://www.panthera.se/images/accessories/ekerskydd_tryck_1_1250.jpg" TargetMode="External"/><Relationship Id="rId77" Type="http://schemas.openxmlformats.org/officeDocument/2006/relationships/hyperlink" Target="https://www.panthera.se/webpages/chassi_colour_all.html" TargetMode="External"/><Relationship Id="rId100" Type="http://schemas.openxmlformats.org/officeDocument/2006/relationships/ctrlProp" Target="../ctrlProps/ctrlProp3.xml"/><Relationship Id="rId8" Type="http://schemas.openxmlformats.org/officeDocument/2006/relationships/hyperlink" Target="https://www.panthera.se/en/delar_broms_S3.html" TargetMode="External"/><Relationship Id="rId98" Type="http://schemas.openxmlformats.org/officeDocument/2006/relationships/ctrlProp" Target="../ctrlProps/ctrlProp1.xml"/><Relationship Id="rId121" Type="http://schemas.openxmlformats.org/officeDocument/2006/relationships/ctrlProp" Target="../ctrlProps/ctrlProp24.xml"/><Relationship Id="rId142" Type="http://schemas.openxmlformats.org/officeDocument/2006/relationships/ctrlProp" Target="../ctrlProps/ctrlProp45.xml"/><Relationship Id="rId163" Type="http://schemas.openxmlformats.org/officeDocument/2006/relationships/ctrlProp" Target="../ctrlProps/ctrlProp66.xml"/><Relationship Id="rId184" Type="http://schemas.openxmlformats.org/officeDocument/2006/relationships/ctrlProp" Target="../ctrlProps/ctrlProp87.xml"/><Relationship Id="rId219" Type="http://schemas.openxmlformats.org/officeDocument/2006/relationships/ctrlProp" Target="../ctrlProps/ctrlProp122.xml"/><Relationship Id="rId230" Type="http://schemas.openxmlformats.org/officeDocument/2006/relationships/ctrlProp" Target="../ctrlProps/ctrlProp133.xml"/><Relationship Id="rId251" Type="http://schemas.openxmlformats.org/officeDocument/2006/relationships/ctrlProp" Target="../ctrlProps/ctrlProp154.xml"/><Relationship Id="rId25" Type="http://schemas.openxmlformats.org/officeDocument/2006/relationships/hyperlink" Target="https://www.panthera.se/webpages/delar_fotstod_std_forstarkt.html" TargetMode="External"/><Relationship Id="rId46" Type="http://schemas.openxmlformats.org/officeDocument/2006/relationships/hyperlink" Target="https://www.panthera.se/webpages/delar_broms_enhands.html" TargetMode="External"/><Relationship Id="rId67" Type="http://schemas.openxmlformats.org/officeDocument/2006/relationships/hyperlink" Target="https://www.panthera.se/images/parts/S3_bakaxel.pos.jpg" TargetMode="External"/><Relationship Id="rId88" Type="http://schemas.openxmlformats.org/officeDocument/2006/relationships/hyperlink" Target="https://www.panthera.se/images/parts/dack_PU_black_1250.jpg" TargetMode="External"/><Relationship Id="rId111" Type="http://schemas.openxmlformats.org/officeDocument/2006/relationships/ctrlProp" Target="../ctrlProps/ctrlProp14.xml"/><Relationship Id="rId132" Type="http://schemas.openxmlformats.org/officeDocument/2006/relationships/ctrlProp" Target="../ctrlProps/ctrlProp35.xml"/><Relationship Id="rId153" Type="http://schemas.openxmlformats.org/officeDocument/2006/relationships/ctrlProp" Target="../ctrlProps/ctrlProp56.xml"/><Relationship Id="rId174" Type="http://schemas.openxmlformats.org/officeDocument/2006/relationships/ctrlProp" Target="../ctrlProps/ctrlProp77.xml"/><Relationship Id="rId195" Type="http://schemas.openxmlformats.org/officeDocument/2006/relationships/ctrlProp" Target="../ctrlProps/ctrlProp98.xml"/><Relationship Id="rId209" Type="http://schemas.openxmlformats.org/officeDocument/2006/relationships/ctrlProp" Target="../ctrlProps/ctrlProp112.xml"/><Relationship Id="rId220" Type="http://schemas.openxmlformats.org/officeDocument/2006/relationships/ctrlProp" Target="../ctrlProps/ctrlProp123.xml"/><Relationship Id="rId241" Type="http://schemas.openxmlformats.org/officeDocument/2006/relationships/ctrlProp" Target="../ctrlProps/ctrlProp144.xml"/><Relationship Id="rId15" Type="http://schemas.openxmlformats.org/officeDocument/2006/relationships/hyperlink" Target="https://www.panthera.se/webpages/tillbehor_korhandtag_S3.html" TargetMode="External"/><Relationship Id="rId36" Type="http://schemas.openxmlformats.org/officeDocument/2006/relationships/hyperlink" Target="https://www.panthera.se/images/parts/dack_schwalbe_1250.jpg" TargetMode="External"/><Relationship Id="rId57" Type="http://schemas.openxmlformats.org/officeDocument/2006/relationships/hyperlink" Target="https://www.panthera.se/images/accessories/ekerskydd_tryck_3_1250.jpg" TargetMode="External"/><Relationship Id="rId78" Type="http://schemas.openxmlformats.org/officeDocument/2006/relationships/hyperlink" Target="https://www.panthera.se/images/layout/colour_anodic_black_1250.jpg" TargetMode="External"/><Relationship Id="rId99" Type="http://schemas.openxmlformats.org/officeDocument/2006/relationships/ctrlProp" Target="../ctrlProps/ctrlProp2.xml"/><Relationship Id="rId101" Type="http://schemas.openxmlformats.org/officeDocument/2006/relationships/ctrlProp" Target="../ctrlProps/ctrlProp4.xml"/><Relationship Id="rId122" Type="http://schemas.openxmlformats.org/officeDocument/2006/relationships/ctrlProp" Target="../ctrlProps/ctrlProp25.xml"/><Relationship Id="rId143" Type="http://schemas.openxmlformats.org/officeDocument/2006/relationships/ctrlProp" Target="../ctrlProps/ctrlProp46.xml"/><Relationship Id="rId164" Type="http://schemas.openxmlformats.org/officeDocument/2006/relationships/ctrlProp" Target="../ctrlProps/ctrlProp67.xml"/><Relationship Id="rId185" Type="http://schemas.openxmlformats.org/officeDocument/2006/relationships/ctrlProp" Target="../ctrlProps/ctrlProp88.xml"/><Relationship Id="rId9" Type="http://schemas.openxmlformats.org/officeDocument/2006/relationships/hyperlink" Target="https://www.panthera.se/webpages/delar_broms.html" TargetMode="External"/><Relationship Id="rId210" Type="http://schemas.openxmlformats.org/officeDocument/2006/relationships/ctrlProp" Target="../ctrlProps/ctrlProp113.xml"/><Relationship Id="rId26" Type="http://schemas.openxmlformats.org/officeDocument/2006/relationships/hyperlink" Target="https://www.panthera.se/webpages/delar_fotstod_fallbara.html" TargetMode="External"/><Relationship Id="rId231" Type="http://schemas.openxmlformats.org/officeDocument/2006/relationships/ctrlProp" Target="../ctrlProps/ctrlProp134.xml"/><Relationship Id="rId252" Type="http://schemas.openxmlformats.org/officeDocument/2006/relationships/ctrlProp" Target="../ctrlProps/ctrlProp155.xml"/><Relationship Id="rId47" Type="http://schemas.openxmlformats.org/officeDocument/2006/relationships/hyperlink" Target="https://player.vimeo.com/video/143712817?title=0&amp;byline=0&amp;portrait=0" TargetMode="External"/><Relationship Id="rId68" Type="http://schemas.openxmlformats.org/officeDocument/2006/relationships/hyperlink" Target="https://www.panthera.se/webpages/tillbehor_sidoskydd_armstod_S3.html" TargetMode="External"/><Relationship Id="rId89" Type="http://schemas.openxmlformats.org/officeDocument/2006/relationships/hyperlink" Target="https://www.panthera.se/webpages/delar_drivhjul_mountain.html" TargetMode="External"/><Relationship Id="rId112" Type="http://schemas.openxmlformats.org/officeDocument/2006/relationships/ctrlProp" Target="../ctrlProps/ctrlProp15.xml"/><Relationship Id="rId133" Type="http://schemas.openxmlformats.org/officeDocument/2006/relationships/ctrlProp" Target="../ctrlProps/ctrlProp36.xml"/><Relationship Id="rId154" Type="http://schemas.openxmlformats.org/officeDocument/2006/relationships/ctrlProp" Target="../ctrlProps/ctrlProp57.xml"/><Relationship Id="rId175" Type="http://schemas.openxmlformats.org/officeDocument/2006/relationships/ctrlProp" Target="../ctrlProps/ctrlProp78.xml"/><Relationship Id="rId196" Type="http://schemas.openxmlformats.org/officeDocument/2006/relationships/ctrlProp" Target="../ctrlProps/ctrlProp99.xml"/><Relationship Id="rId200" Type="http://schemas.openxmlformats.org/officeDocument/2006/relationships/ctrlProp" Target="../ctrlProps/ctrlProp103.xml"/><Relationship Id="rId16" Type="http://schemas.openxmlformats.org/officeDocument/2006/relationships/hyperlink" Target="https://www.panthera.se/webpages/tillbehor_korhandtag_S3.html" TargetMode="External"/><Relationship Id="rId221" Type="http://schemas.openxmlformats.org/officeDocument/2006/relationships/ctrlProp" Target="../ctrlProps/ctrlProp124.xml"/><Relationship Id="rId242" Type="http://schemas.openxmlformats.org/officeDocument/2006/relationships/ctrlProp" Target="../ctrlProps/ctrlProp145.xml"/><Relationship Id="rId37" Type="http://schemas.openxmlformats.org/officeDocument/2006/relationships/hyperlink" Target="https://www.panthera.se/images/parts/drivhjul_spinergy_X_vit_125.jpg" TargetMode="External"/><Relationship Id="rId58" Type="http://schemas.openxmlformats.org/officeDocument/2006/relationships/hyperlink" Target="https://www.panthera.se/images/accessories/ekerskydd_tryck_2_1250.jpg" TargetMode="External"/><Relationship Id="rId79" Type="http://schemas.openxmlformats.org/officeDocument/2006/relationships/hyperlink" Target="https://www.panthera.se/images/layout/colour_grey_metallic_1250.jpg" TargetMode="External"/><Relationship Id="rId102" Type="http://schemas.openxmlformats.org/officeDocument/2006/relationships/ctrlProp" Target="../ctrlProps/ctrlProp5.xml"/><Relationship Id="rId123" Type="http://schemas.openxmlformats.org/officeDocument/2006/relationships/ctrlProp" Target="../ctrlProps/ctrlProp26.xml"/><Relationship Id="rId144" Type="http://schemas.openxmlformats.org/officeDocument/2006/relationships/ctrlProp" Target="../ctrlProps/ctrlProp47.xml"/><Relationship Id="rId90" Type="http://schemas.openxmlformats.org/officeDocument/2006/relationships/hyperlink" Target="https://www.panthera.se/webpages/tillbehor_sidoskydd_carbon_large.html" TargetMode="External"/><Relationship Id="rId165" Type="http://schemas.openxmlformats.org/officeDocument/2006/relationships/ctrlProp" Target="../ctrlProps/ctrlProp68.xml"/><Relationship Id="rId186" Type="http://schemas.openxmlformats.org/officeDocument/2006/relationships/ctrlProp" Target="../ctrlProps/ctrlProp89.xml"/><Relationship Id="rId211" Type="http://schemas.openxmlformats.org/officeDocument/2006/relationships/ctrlProp" Target="../ctrlProps/ctrlProp114.xml"/><Relationship Id="rId232" Type="http://schemas.openxmlformats.org/officeDocument/2006/relationships/ctrlProp" Target="../ctrlProps/ctrlProp135.xml"/><Relationship Id="rId253" Type="http://schemas.openxmlformats.org/officeDocument/2006/relationships/ctrlProp" Target="../ctrlProps/ctrlProp156.xml"/><Relationship Id="rId27" Type="http://schemas.openxmlformats.org/officeDocument/2006/relationships/hyperlink" Target="https://www.panthera.se/webpages/delar_fotstod_fallbara.html" TargetMode="External"/><Relationship Id="rId48" Type="http://schemas.openxmlformats.org/officeDocument/2006/relationships/hyperlink" Target="https://www.panthera.se/webpages/tillbehor_sidoskydd_carbon_S3.html" TargetMode="External"/><Relationship Id="rId69" Type="http://schemas.openxmlformats.org/officeDocument/2006/relationships/hyperlink" Target="https://www.panthera.se/webpages/tillbehor_bord_S3.html" TargetMode="External"/><Relationship Id="rId113" Type="http://schemas.openxmlformats.org/officeDocument/2006/relationships/ctrlProp" Target="../ctrlProps/ctrlProp16.xml"/><Relationship Id="rId134" Type="http://schemas.openxmlformats.org/officeDocument/2006/relationships/ctrlProp" Target="../ctrlProps/ctrlProp37.xml"/><Relationship Id="rId80" Type="http://schemas.openxmlformats.org/officeDocument/2006/relationships/hyperlink" Target="https://www.panthera.se/panthera/documentation/orderguide/notiser/seatheight.pdf" TargetMode="External"/><Relationship Id="rId155" Type="http://schemas.openxmlformats.org/officeDocument/2006/relationships/ctrlProp" Target="../ctrlProps/ctrlProp58.xml"/><Relationship Id="rId176" Type="http://schemas.openxmlformats.org/officeDocument/2006/relationships/ctrlProp" Target="../ctrlProps/ctrlProp79.xml"/><Relationship Id="rId197" Type="http://schemas.openxmlformats.org/officeDocument/2006/relationships/ctrlProp" Target="../ctrlProps/ctrlProp100.xml"/><Relationship Id="rId201" Type="http://schemas.openxmlformats.org/officeDocument/2006/relationships/ctrlProp" Target="../ctrlProps/ctrlProp104.xml"/><Relationship Id="rId222" Type="http://schemas.openxmlformats.org/officeDocument/2006/relationships/ctrlProp" Target="../ctrlProps/ctrlProp125.xml"/><Relationship Id="rId243" Type="http://schemas.openxmlformats.org/officeDocument/2006/relationships/ctrlProp" Target="../ctrlProps/ctrlProp146.xml"/><Relationship Id="rId17" Type="http://schemas.openxmlformats.org/officeDocument/2006/relationships/hyperlink" Target="https://www.panthera.se/webpages/tillbehor_korhandtag_fallbart.html" TargetMode="External"/><Relationship Id="rId38" Type="http://schemas.openxmlformats.org/officeDocument/2006/relationships/hyperlink" Target="https://www.panthera.se/webpages/delar_framgaffel_S3_120.html" TargetMode="External"/><Relationship Id="rId59" Type="http://schemas.openxmlformats.org/officeDocument/2006/relationships/hyperlink" Target="https://www.panthera.se/images/accessories/ekerskydd_tryck_4_1250.jpg" TargetMode="External"/><Relationship Id="rId103" Type="http://schemas.openxmlformats.org/officeDocument/2006/relationships/ctrlProp" Target="../ctrlProps/ctrlProp6.xml"/><Relationship Id="rId124" Type="http://schemas.openxmlformats.org/officeDocument/2006/relationships/ctrlProp" Target="../ctrlProps/ctrlProp27.xml"/><Relationship Id="rId70" Type="http://schemas.openxmlformats.org/officeDocument/2006/relationships/hyperlink" Target="https://www.panthera.se/webpages/delar_dack_retyre.html" TargetMode="External"/><Relationship Id="rId91" Type="http://schemas.openxmlformats.org/officeDocument/2006/relationships/hyperlink" Target="https://player.vimeo.com/video/163530867?title=0&amp;byline=0&amp;portrait=0" TargetMode="External"/><Relationship Id="rId145" Type="http://schemas.openxmlformats.org/officeDocument/2006/relationships/ctrlProp" Target="../ctrlProps/ctrlProp48.xml"/><Relationship Id="rId166" Type="http://schemas.openxmlformats.org/officeDocument/2006/relationships/ctrlProp" Target="../ctrlProps/ctrlProp69.xml"/><Relationship Id="rId187" Type="http://schemas.openxmlformats.org/officeDocument/2006/relationships/ctrlProp" Target="../ctrlProps/ctrlProp90.xml"/><Relationship Id="rId1" Type="http://schemas.openxmlformats.org/officeDocument/2006/relationships/hyperlink" Target="https://www.panthera.se/images/parts/S3_swing_ryggvinkel_pil.jpg" TargetMode="External"/><Relationship Id="rId212" Type="http://schemas.openxmlformats.org/officeDocument/2006/relationships/ctrlProp" Target="../ctrlProps/ctrlProp115.xml"/><Relationship Id="rId233" Type="http://schemas.openxmlformats.org/officeDocument/2006/relationships/ctrlProp" Target="../ctrlProps/ctrlProp136.xml"/><Relationship Id="rId254" Type="http://schemas.openxmlformats.org/officeDocument/2006/relationships/ctrlProp" Target="../ctrlProps/ctrlProp157.xml"/><Relationship Id="rId28" Type="http://schemas.openxmlformats.org/officeDocument/2006/relationships/hyperlink" Target="https://www.panthera.se/webpages/delar_fotstod_fotplatta.html" TargetMode="External"/><Relationship Id="rId49" Type="http://schemas.openxmlformats.org/officeDocument/2006/relationships/hyperlink" Target="https://www.panthera.se/webpages/tillbehor_sidoskydd_carbon_small.html" TargetMode="External"/><Relationship Id="rId114" Type="http://schemas.openxmlformats.org/officeDocument/2006/relationships/ctrlProp" Target="../ctrlProps/ctrlProp17.xml"/><Relationship Id="rId60" Type="http://schemas.openxmlformats.org/officeDocument/2006/relationships/hyperlink" Target="https://www.panthera.se/webpages/delar_rygg_S3_bb.html" TargetMode="External"/><Relationship Id="rId81" Type="http://schemas.openxmlformats.org/officeDocument/2006/relationships/hyperlink" Target="https://www.panthera.se/webpages/delar_bakaxel_forhojningssats.html" TargetMode="External"/><Relationship Id="rId135" Type="http://schemas.openxmlformats.org/officeDocument/2006/relationships/ctrlProp" Target="../ctrlProps/ctrlProp38.xml"/><Relationship Id="rId156" Type="http://schemas.openxmlformats.org/officeDocument/2006/relationships/ctrlProp" Target="../ctrlProps/ctrlProp59.xml"/><Relationship Id="rId177" Type="http://schemas.openxmlformats.org/officeDocument/2006/relationships/ctrlProp" Target="../ctrlProps/ctrlProp80.xml"/><Relationship Id="rId198" Type="http://schemas.openxmlformats.org/officeDocument/2006/relationships/ctrlProp" Target="../ctrlProps/ctrlProp101.xml"/><Relationship Id="rId202" Type="http://schemas.openxmlformats.org/officeDocument/2006/relationships/ctrlProp" Target="../ctrlProps/ctrlProp105.xml"/><Relationship Id="rId223" Type="http://schemas.openxmlformats.org/officeDocument/2006/relationships/ctrlProp" Target="../ctrlProps/ctrlProp126.xml"/><Relationship Id="rId244" Type="http://schemas.openxmlformats.org/officeDocument/2006/relationships/ctrlProp" Target="../ctrlProps/ctrlProp147.xml"/><Relationship Id="rId18" Type="http://schemas.openxmlformats.org/officeDocument/2006/relationships/hyperlink" Target="https://www.panthera.se/webpages/tillbehor_dyna_S3.html" TargetMode="External"/><Relationship Id="rId39" Type="http://schemas.openxmlformats.org/officeDocument/2006/relationships/hyperlink" Target="https://www.panthera.se/products/produkt_S3.html" TargetMode="External"/><Relationship Id="rId50" Type="http://schemas.openxmlformats.org/officeDocument/2006/relationships/hyperlink" Target="https://player.vimeo.com/video/163398284?title=0&amp;byline=0&amp;portrait=0" TargetMode="External"/><Relationship Id="rId104" Type="http://schemas.openxmlformats.org/officeDocument/2006/relationships/ctrlProp" Target="../ctrlProps/ctrlProp7.xml"/><Relationship Id="rId125" Type="http://schemas.openxmlformats.org/officeDocument/2006/relationships/ctrlProp" Target="../ctrlProps/ctrlProp28.xml"/><Relationship Id="rId146" Type="http://schemas.openxmlformats.org/officeDocument/2006/relationships/ctrlProp" Target="../ctrlProps/ctrlProp49.xml"/><Relationship Id="rId167" Type="http://schemas.openxmlformats.org/officeDocument/2006/relationships/ctrlProp" Target="../ctrlProps/ctrlProp70.xml"/><Relationship Id="rId188" Type="http://schemas.openxmlformats.org/officeDocument/2006/relationships/ctrlProp" Target="../ctrlProps/ctrlProp91.xml"/><Relationship Id="rId71" Type="http://schemas.openxmlformats.org/officeDocument/2006/relationships/hyperlink" Target="https://www.panthera.se/products/produkt_S3_kort_ABD.html" TargetMode="External"/><Relationship Id="rId92" Type="http://schemas.openxmlformats.org/officeDocument/2006/relationships/hyperlink" Target="https://www.panthera.se/webpages/tillbehor_ekerskydd_tryck.html" TargetMode="External"/><Relationship Id="rId213" Type="http://schemas.openxmlformats.org/officeDocument/2006/relationships/ctrlProp" Target="../ctrlProps/ctrlProp116.xml"/><Relationship Id="rId234" Type="http://schemas.openxmlformats.org/officeDocument/2006/relationships/ctrlProp" Target="../ctrlProps/ctrlProp137.xml"/><Relationship Id="rId2" Type="http://schemas.openxmlformats.org/officeDocument/2006/relationships/hyperlink" Target="https://www.panthera.se/images/parts/S3_fotstod_pil.jpg" TargetMode="External"/><Relationship Id="rId29" Type="http://schemas.openxmlformats.org/officeDocument/2006/relationships/hyperlink" Target="https://www.panthera.se/webpages/delar_broms_enhands.html" TargetMode="External"/><Relationship Id="rId255" Type="http://schemas.openxmlformats.org/officeDocument/2006/relationships/ctrlProp" Target="../ctrlProps/ctrlProp158.xml"/><Relationship Id="rId40" Type="http://schemas.openxmlformats.org/officeDocument/2006/relationships/hyperlink" Target="https://www.panthera.se/webpages/delar_rygg_S3_fast.html" TargetMode="External"/><Relationship Id="rId115" Type="http://schemas.openxmlformats.org/officeDocument/2006/relationships/ctrlProp" Target="../ctrlProps/ctrlProp18.xml"/><Relationship Id="rId136" Type="http://schemas.openxmlformats.org/officeDocument/2006/relationships/ctrlProp" Target="../ctrlProps/ctrlProp39.xml"/><Relationship Id="rId157" Type="http://schemas.openxmlformats.org/officeDocument/2006/relationships/ctrlProp" Target="../ctrlProps/ctrlProp60.xml"/><Relationship Id="rId178" Type="http://schemas.openxmlformats.org/officeDocument/2006/relationships/ctrlProp" Target="../ctrlProps/ctrlProp81.xml"/><Relationship Id="rId61" Type="http://schemas.openxmlformats.org/officeDocument/2006/relationships/hyperlink" Target="https://www.panthera.se/images/accessories/rorskydd_std_front_1250.jpg" TargetMode="External"/><Relationship Id="rId82" Type="http://schemas.openxmlformats.org/officeDocument/2006/relationships/hyperlink" Target="https://www.panthera.se/webpages/delar_drivhjul_std.html" TargetMode="External"/><Relationship Id="rId199" Type="http://schemas.openxmlformats.org/officeDocument/2006/relationships/ctrlProp" Target="../ctrlProps/ctrlProp102.xml"/><Relationship Id="rId203" Type="http://schemas.openxmlformats.org/officeDocument/2006/relationships/ctrlProp" Target="../ctrlProps/ctrlProp106.xml"/><Relationship Id="rId19" Type="http://schemas.openxmlformats.org/officeDocument/2006/relationships/hyperlink" Target="https://www.panthera.se/webpages/tillbehor_dyna_kildyna.html" TargetMode="External"/><Relationship Id="rId224" Type="http://schemas.openxmlformats.org/officeDocument/2006/relationships/ctrlProp" Target="../ctrlProps/ctrlProp127.xml"/><Relationship Id="rId245" Type="http://schemas.openxmlformats.org/officeDocument/2006/relationships/ctrlProp" Target="../ctrlProps/ctrlProp148.xml"/><Relationship Id="rId30" Type="http://schemas.openxmlformats.org/officeDocument/2006/relationships/hyperlink" Target="https://www.panthera.se/webpages/delar_drivhjul_std.html" TargetMode="External"/><Relationship Id="rId105" Type="http://schemas.openxmlformats.org/officeDocument/2006/relationships/ctrlProp" Target="../ctrlProps/ctrlProp8.xml"/><Relationship Id="rId126" Type="http://schemas.openxmlformats.org/officeDocument/2006/relationships/ctrlProp" Target="../ctrlProps/ctrlProp29.xml"/><Relationship Id="rId147" Type="http://schemas.openxmlformats.org/officeDocument/2006/relationships/ctrlProp" Target="../ctrlProps/ctrlProp50.xml"/><Relationship Id="rId168" Type="http://schemas.openxmlformats.org/officeDocument/2006/relationships/ctrlProp" Target="../ctrlProps/ctrlProp71.xml"/><Relationship Id="rId51" Type="http://schemas.openxmlformats.org/officeDocument/2006/relationships/hyperlink" Target="https://player.vimeo.com/video/142345897?title=0&amp;byline=0&amp;portrait=0" TargetMode="External"/><Relationship Id="rId72" Type="http://schemas.openxmlformats.org/officeDocument/2006/relationships/hyperlink" Target="https://www.panthera.se/products/produkt_S3_0.html" TargetMode="External"/><Relationship Id="rId93" Type="http://schemas.openxmlformats.org/officeDocument/2006/relationships/hyperlink" Target="https://www.panthera.se/webpages/tillbehor_dyna_anpassningsbar.html" TargetMode="External"/><Relationship Id="rId189" Type="http://schemas.openxmlformats.org/officeDocument/2006/relationships/ctrlProp" Target="../ctrlProps/ctrlProp92.xml"/><Relationship Id="rId3" Type="http://schemas.openxmlformats.org/officeDocument/2006/relationships/hyperlink" Target="https://www.panthera.se/images/parts/S3_swing_fostad_hojd_pil.jpg" TargetMode="External"/><Relationship Id="rId214" Type="http://schemas.openxmlformats.org/officeDocument/2006/relationships/ctrlProp" Target="../ctrlProps/ctrlProp117.xml"/><Relationship Id="rId235" Type="http://schemas.openxmlformats.org/officeDocument/2006/relationships/ctrlProp" Target="../ctrlProps/ctrlProp138.xml"/><Relationship Id="rId256" Type="http://schemas.openxmlformats.org/officeDocument/2006/relationships/ctrlProp" Target="../ctrlProps/ctrlProp159.xml"/><Relationship Id="rId116" Type="http://schemas.openxmlformats.org/officeDocument/2006/relationships/ctrlProp" Target="../ctrlProps/ctrlProp19.xml"/><Relationship Id="rId137" Type="http://schemas.openxmlformats.org/officeDocument/2006/relationships/ctrlProp" Target="../ctrlProps/ctrlProp40.xml"/><Relationship Id="rId158" Type="http://schemas.openxmlformats.org/officeDocument/2006/relationships/ctrlProp" Target="../ctrlProps/ctrlProp61.xml"/><Relationship Id="rId20" Type="http://schemas.openxmlformats.org/officeDocument/2006/relationships/hyperlink" Target="https://www.panthera.se/webpages/delar_rygg_S3_ins.html" TargetMode="External"/><Relationship Id="rId41" Type="http://schemas.openxmlformats.org/officeDocument/2006/relationships/hyperlink" Target="https://www.panthera.se/webpages/utokatsortiment_ryggar_dins.html" TargetMode="External"/><Relationship Id="rId62" Type="http://schemas.openxmlformats.org/officeDocument/2006/relationships/hyperlink" Target="https://www.panthera.se/images/accessories/rorskydd_std_rear_1250.jpg" TargetMode="External"/><Relationship Id="rId83" Type="http://schemas.openxmlformats.org/officeDocument/2006/relationships/hyperlink" Target="https://www.panthera.se/images/parts/dack_schwalbe_1250.jpg" TargetMode="External"/><Relationship Id="rId179" Type="http://schemas.openxmlformats.org/officeDocument/2006/relationships/ctrlProp" Target="../ctrlProps/ctrlProp82.xml"/><Relationship Id="rId190" Type="http://schemas.openxmlformats.org/officeDocument/2006/relationships/ctrlProp" Target="../ctrlProps/ctrlProp93.xml"/><Relationship Id="rId204" Type="http://schemas.openxmlformats.org/officeDocument/2006/relationships/ctrlProp" Target="../ctrlProps/ctrlProp107.xml"/><Relationship Id="rId225" Type="http://schemas.openxmlformats.org/officeDocument/2006/relationships/ctrlProp" Target="../ctrlProps/ctrlProp128.xml"/><Relationship Id="rId246" Type="http://schemas.openxmlformats.org/officeDocument/2006/relationships/ctrlProp" Target="../ctrlProps/ctrlProp149.xml"/><Relationship Id="rId106" Type="http://schemas.openxmlformats.org/officeDocument/2006/relationships/ctrlProp" Target="../ctrlProps/ctrlProp9.xml"/><Relationship Id="rId127" Type="http://schemas.openxmlformats.org/officeDocument/2006/relationships/ctrlProp" Target="../ctrlProps/ctrlProp30.xml"/><Relationship Id="rId10" Type="http://schemas.openxmlformats.org/officeDocument/2006/relationships/hyperlink" Target="https://www.panthera.se/webpages/delar_drivhjul_std.html" TargetMode="External"/><Relationship Id="rId31" Type="http://schemas.openxmlformats.org/officeDocument/2006/relationships/hyperlink" Target="https://www.panthera.se/webpages/delar_drivring_paragrip.html" TargetMode="External"/><Relationship Id="rId52" Type="http://schemas.openxmlformats.org/officeDocument/2006/relationships/hyperlink" Target="https://www.panthera.se/webpages/tillbehor_dyna_S3.html" TargetMode="External"/><Relationship Id="rId73" Type="http://schemas.openxmlformats.org/officeDocument/2006/relationships/hyperlink" Target="https://www.panthera.se/products/produkt_S3_long.html" TargetMode="External"/><Relationship Id="rId94" Type="http://schemas.openxmlformats.org/officeDocument/2006/relationships/hyperlink" Target="https://www.panthera.se/webpages/tillbehor_dyna_anpassningsbar.html" TargetMode="External"/><Relationship Id="rId148" Type="http://schemas.openxmlformats.org/officeDocument/2006/relationships/ctrlProp" Target="../ctrlProps/ctrlProp51.xml"/><Relationship Id="rId169" Type="http://schemas.openxmlformats.org/officeDocument/2006/relationships/ctrlProp" Target="../ctrlProps/ctrlProp72.xml"/><Relationship Id="rId4" Type="http://schemas.openxmlformats.org/officeDocument/2006/relationships/hyperlink" Target="https://www.panthera.se/webpages/delar_rygg_all_S3.html" TargetMode="External"/><Relationship Id="rId180" Type="http://schemas.openxmlformats.org/officeDocument/2006/relationships/ctrlProp" Target="../ctrlProps/ctrlProp83.xml"/><Relationship Id="rId215" Type="http://schemas.openxmlformats.org/officeDocument/2006/relationships/ctrlProp" Target="../ctrlProps/ctrlProp118.xml"/><Relationship Id="rId236" Type="http://schemas.openxmlformats.org/officeDocument/2006/relationships/ctrlProp" Target="../ctrlProps/ctrlProp139.xml"/><Relationship Id="rId257" Type="http://schemas.openxmlformats.org/officeDocument/2006/relationships/ctrlProp" Target="../ctrlProps/ctrlProp16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196.xml"/><Relationship Id="rId21" Type="http://schemas.openxmlformats.org/officeDocument/2006/relationships/hyperlink" Target="https://www.panthera.se/products/produkt_U3.html" TargetMode="External"/><Relationship Id="rId42" Type="http://schemas.openxmlformats.org/officeDocument/2006/relationships/hyperlink" Target="https://www.panthera.se/webpages/delar_bakaxel_carbon.html" TargetMode="External"/><Relationship Id="rId63" Type="http://schemas.openxmlformats.org/officeDocument/2006/relationships/hyperlink" Target="https://www.panthera.se/webpages/tillbehor_bord_S3.html" TargetMode="External"/><Relationship Id="rId84" Type="http://schemas.openxmlformats.org/officeDocument/2006/relationships/ctrlProp" Target="../ctrlProps/ctrlProp163.xml"/><Relationship Id="rId138" Type="http://schemas.openxmlformats.org/officeDocument/2006/relationships/ctrlProp" Target="../ctrlProps/ctrlProp217.xml"/><Relationship Id="rId159" Type="http://schemas.openxmlformats.org/officeDocument/2006/relationships/ctrlProp" Target="../ctrlProps/ctrlProp238.xml"/><Relationship Id="rId170" Type="http://schemas.openxmlformats.org/officeDocument/2006/relationships/ctrlProp" Target="../ctrlProps/ctrlProp249.xml"/><Relationship Id="rId191" Type="http://schemas.openxmlformats.org/officeDocument/2006/relationships/ctrlProp" Target="../ctrlProps/ctrlProp270.xml"/><Relationship Id="rId205" Type="http://schemas.openxmlformats.org/officeDocument/2006/relationships/ctrlProp" Target="../ctrlProps/ctrlProp284.xml"/><Relationship Id="rId226" Type="http://schemas.openxmlformats.org/officeDocument/2006/relationships/ctrlProp" Target="../ctrlProps/ctrlProp305.xml"/><Relationship Id="rId247" Type="http://schemas.openxmlformats.org/officeDocument/2006/relationships/ctrlProp" Target="../ctrlProps/ctrlProp326.xml"/><Relationship Id="rId107" Type="http://schemas.openxmlformats.org/officeDocument/2006/relationships/ctrlProp" Target="../ctrlProps/ctrlProp186.xml"/><Relationship Id="rId11" Type="http://schemas.openxmlformats.org/officeDocument/2006/relationships/hyperlink" Target="https://player.vimeo.com/video/163398284?title=0&amp;byline=0&amp;portrait=0" TargetMode="External"/><Relationship Id="rId32" Type="http://schemas.openxmlformats.org/officeDocument/2006/relationships/hyperlink" Target="https://www.panthera.se/webpages/delar_drivring_tetragrip.html" TargetMode="External"/><Relationship Id="rId53" Type="http://schemas.openxmlformats.org/officeDocument/2006/relationships/hyperlink" Target="https://www.panthera.se/webpages/delar_broms.html" TargetMode="External"/><Relationship Id="rId74" Type="http://schemas.openxmlformats.org/officeDocument/2006/relationships/hyperlink" Target="https://www.panthera.se/images/layout/colour_anodic_black_1250.jpg" TargetMode="External"/><Relationship Id="rId128" Type="http://schemas.openxmlformats.org/officeDocument/2006/relationships/ctrlProp" Target="../ctrlProps/ctrlProp207.xml"/><Relationship Id="rId149" Type="http://schemas.openxmlformats.org/officeDocument/2006/relationships/ctrlProp" Target="../ctrlProps/ctrlProp228.xml"/><Relationship Id="rId5" Type="http://schemas.openxmlformats.org/officeDocument/2006/relationships/hyperlink" Target="https://www.panthera.se/webpages/tillbehor_tippskydd_S3.html" TargetMode="External"/><Relationship Id="rId95" Type="http://schemas.openxmlformats.org/officeDocument/2006/relationships/ctrlProp" Target="../ctrlProps/ctrlProp174.xml"/><Relationship Id="rId160" Type="http://schemas.openxmlformats.org/officeDocument/2006/relationships/ctrlProp" Target="../ctrlProps/ctrlProp239.xml"/><Relationship Id="rId181" Type="http://schemas.openxmlformats.org/officeDocument/2006/relationships/ctrlProp" Target="../ctrlProps/ctrlProp260.xml"/><Relationship Id="rId216" Type="http://schemas.openxmlformats.org/officeDocument/2006/relationships/ctrlProp" Target="../ctrlProps/ctrlProp295.xml"/><Relationship Id="rId237" Type="http://schemas.openxmlformats.org/officeDocument/2006/relationships/ctrlProp" Target="../ctrlProps/ctrlProp316.xml"/><Relationship Id="rId22" Type="http://schemas.openxmlformats.org/officeDocument/2006/relationships/hyperlink" Target="https://www.panthera.se/images/parts/drivring_alu_1250_4.jpg" TargetMode="External"/><Relationship Id="rId43" Type="http://schemas.openxmlformats.org/officeDocument/2006/relationships/hyperlink" Target="https://www.panthera.se/webpages/delar_rygg_S3_ins.html" TargetMode="External"/><Relationship Id="rId64" Type="http://schemas.openxmlformats.org/officeDocument/2006/relationships/hyperlink" Target="https://www.panthera.se/en/delar_dack_retyre.html" TargetMode="External"/><Relationship Id="rId118" Type="http://schemas.openxmlformats.org/officeDocument/2006/relationships/ctrlProp" Target="../ctrlProps/ctrlProp197.xml"/><Relationship Id="rId139" Type="http://schemas.openxmlformats.org/officeDocument/2006/relationships/ctrlProp" Target="../ctrlProps/ctrlProp218.xml"/><Relationship Id="rId85" Type="http://schemas.openxmlformats.org/officeDocument/2006/relationships/ctrlProp" Target="../ctrlProps/ctrlProp164.xml"/><Relationship Id="rId150" Type="http://schemas.openxmlformats.org/officeDocument/2006/relationships/ctrlProp" Target="../ctrlProps/ctrlProp229.xml"/><Relationship Id="rId171" Type="http://schemas.openxmlformats.org/officeDocument/2006/relationships/ctrlProp" Target="../ctrlProps/ctrlProp250.xml"/><Relationship Id="rId192" Type="http://schemas.openxmlformats.org/officeDocument/2006/relationships/ctrlProp" Target="../ctrlProps/ctrlProp271.xml"/><Relationship Id="rId206" Type="http://schemas.openxmlformats.org/officeDocument/2006/relationships/ctrlProp" Target="../ctrlProps/ctrlProp285.xml"/><Relationship Id="rId227" Type="http://schemas.openxmlformats.org/officeDocument/2006/relationships/ctrlProp" Target="../ctrlProps/ctrlProp306.xml"/><Relationship Id="rId248" Type="http://schemas.openxmlformats.org/officeDocument/2006/relationships/ctrlProp" Target="../ctrlProps/ctrlProp327.xml"/><Relationship Id="rId12" Type="http://schemas.openxmlformats.org/officeDocument/2006/relationships/hyperlink" Target="https://www.panthera.se/webpages/tillbehor_sidoskydd_carbon_small.html" TargetMode="External"/><Relationship Id="rId33" Type="http://schemas.openxmlformats.org/officeDocument/2006/relationships/hyperlink" Target="https://www.panthera.se/webpages/delar_drivring_paragrip.html" TargetMode="External"/><Relationship Id="rId108" Type="http://schemas.openxmlformats.org/officeDocument/2006/relationships/ctrlProp" Target="../ctrlProps/ctrlProp187.xml"/><Relationship Id="rId129" Type="http://schemas.openxmlformats.org/officeDocument/2006/relationships/ctrlProp" Target="../ctrlProps/ctrlProp208.xml"/><Relationship Id="rId54" Type="http://schemas.openxmlformats.org/officeDocument/2006/relationships/hyperlink" Target="https://www.panthera.se/images/parts/bakaxel_carbon_1250.jpg" TargetMode="External"/><Relationship Id="rId75" Type="http://schemas.openxmlformats.org/officeDocument/2006/relationships/hyperlink" Target="https://www.panthera.se/images/layout/colour_grey_metallic_1250.jpg" TargetMode="External"/><Relationship Id="rId96" Type="http://schemas.openxmlformats.org/officeDocument/2006/relationships/ctrlProp" Target="../ctrlProps/ctrlProp175.xml"/><Relationship Id="rId140" Type="http://schemas.openxmlformats.org/officeDocument/2006/relationships/ctrlProp" Target="../ctrlProps/ctrlProp219.xml"/><Relationship Id="rId161" Type="http://schemas.openxmlformats.org/officeDocument/2006/relationships/ctrlProp" Target="../ctrlProps/ctrlProp240.xml"/><Relationship Id="rId182" Type="http://schemas.openxmlformats.org/officeDocument/2006/relationships/ctrlProp" Target="../ctrlProps/ctrlProp261.xml"/><Relationship Id="rId217" Type="http://schemas.openxmlformats.org/officeDocument/2006/relationships/ctrlProp" Target="../ctrlProps/ctrlProp296.xml"/><Relationship Id="rId6" Type="http://schemas.openxmlformats.org/officeDocument/2006/relationships/hyperlink" Target="https://www.panthera.se/en/tillbehor_korbage_S3.html" TargetMode="External"/><Relationship Id="rId238" Type="http://schemas.openxmlformats.org/officeDocument/2006/relationships/ctrlProp" Target="../ctrlProps/ctrlProp317.xml"/><Relationship Id="rId23" Type="http://schemas.openxmlformats.org/officeDocument/2006/relationships/hyperlink" Target="https://www.panthera.se/webpages/delar_framgaffel_S3_120.html" TargetMode="External"/><Relationship Id="rId119" Type="http://schemas.openxmlformats.org/officeDocument/2006/relationships/ctrlProp" Target="../ctrlProps/ctrlProp198.xml"/><Relationship Id="rId44" Type="http://schemas.openxmlformats.org/officeDocument/2006/relationships/hyperlink" Target="https://www.panthera.se/webpages/tillbehor_dyna_kildyna.html" TargetMode="External"/><Relationship Id="rId65" Type="http://schemas.openxmlformats.org/officeDocument/2006/relationships/hyperlink" Target="https://www.panthera.se/webpages/delar_rygg_S3.html" TargetMode="External"/><Relationship Id="rId86" Type="http://schemas.openxmlformats.org/officeDocument/2006/relationships/ctrlProp" Target="../ctrlProps/ctrlProp165.xml"/><Relationship Id="rId130" Type="http://schemas.openxmlformats.org/officeDocument/2006/relationships/ctrlProp" Target="../ctrlProps/ctrlProp209.xml"/><Relationship Id="rId151" Type="http://schemas.openxmlformats.org/officeDocument/2006/relationships/ctrlProp" Target="../ctrlProps/ctrlProp230.xml"/><Relationship Id="rId172" Type="http://schemas.openxmlformats.org/officeDocument/2006/relationships/ctrlProp" Target="../ctrlProps/ctrlProp251.xml"/><Relationship Id="rId193" Type="http://schemas.openxmlformats.org/officeDocument/2006/relationships/ctrlProp" Target="../ctrlProps/ctrlProp272.xml"/><Relationship Id="rId207" Type="http://schemas.openxmlformats.org/officeDocument/2006/relationships/ctrlProp" Target="../ctrlProps/ctrlProp286.xml"/><Relationship Id="rId228" Type="http://schemas.openxmlformats.org/officeDocument/2006/relationships/ctrlProp" Target="../ctrlProps/ctrlProp307.xml"/><Relationship Id="rId249" Type="http://schemas.openxmlformats.org/officeDocument/2006/relationships/ctrlProp" Target="../ctrlProps/ctrlProp328.xml"/><Relationship Id="rId13" Type="http://schemas.openxmlformats.org/officeDocument/2006/relationships/hyperlink" Target="https://www.panthera.se/en/tillbehor_sidoskydd_carbon_S3.html" TargetMode="External"/><Relationship Id="rId109" Type="http://schemas.openxmlformats.org/officeDocument/2006/relationships/ctrlProp" Target="../ctrlProps/ctrlProp188.xml"/><Relationship Id="rId34" Type="http://schemas.openxmlformats.org/officeDocument/2006/relationships/hyperlink" Target="https://www.panthera.se/en/delar_drivhjul_std.html" TargetMode="External"/><Relationship Id="rId55" Type="http://schemas.openxmlformats.org/officeDocument/2006/relationships/hyperlink" Target="https://www.panthera.se/webpages/delar_rygg_all_S3.html" TargetMode="External"/><Relationship Id="rId76" Type="http://schemas.openxmlformats.org/officeDocument/2006/relationships/hyperlink" Target="https://www.panthera.se/webpages/chassi_colour_all.html" TargetMode="External"/><Relationship Id="rId97" Type="http://schemas.openxmlformats.org/officeDocument/2006/relationships/ctrlProp" Target="../ctrlProps/ctrlProp176.xml"/><Relationship Id="rId120" Type="http://schemas.openxmlformats.org/officeDocument/2006/relationships/ctrlProp" Target="../ctrlProps/ctrlProp199.xml"/><Relationship Id="rId141" Type="http://schemas.openxmlformats.org/officeDocument/2006/relationships/ctrlProp" Target="../ctrlProps/ctrlProp220.xml"/><Relationship Id="rId7" Type="http://schemas.openxmlformats.org/officeDocument/2006/relationships/hyperlink" Target="https://www.panthera.se/webpages/tillbehor_ekerskydd_utantryck.html" TargetMode="External"/><Relationship Id="rId162" Type="http://schemas.openxmlformats.org/officeDocument/2006/relationships/ctrlProp" Target="../ctrlProps/ctrlProp241.xml"/><Relationship Id="rId183" Type="http://schemas.openxmlformats.org/officeDocument/2006/relationships/ctrlProp" Target="../ctrlProps/ctrlProp262.xml"/><Relationship Id="rId218" Type="http://schemas.openxmlformats.org/officeDocument/2006/relationships/ctrlProp" Target="../ctrlProps/ctrlProp297.xml"/><Relationship Id="rId239" Type="http://schemas.openxmlformats.org/officeDocument/2006/relationships/ctrlProp" Target="../ctrlProps/ctrlProp318.xml"/><Relationship Id="rId250" Type="http://schemas.openxmlformats.org/officeDocument/2006/relationships/ctrlProp" Target="../ctrlProps/ctrlProp329.xml"/><Relationship Id="rId24" Type="http://schemas.openxmlformats.org/officeDocument/2006/relationships/hyperlink" Target="https://www.panthera.se/images/parts/drivhjul_spinergy_X_vit_125.jpg" TargetMode="External"/><Relationship Id="rId45" Type="http://schemas.openxmlformats.org/officeDocument/2006/relationships/hyperlink" Target="https://www.panthera.se/webpages/tillbehor_dyna_S3.html" TargetMode="External"/><Relationship Id="rId66" Type="http://schemas.openxmlformats.org/officeDocument/2006/relationships/hyperlink" Target="https://www.panthera.se/webpages/tillbehor_rorskydd.html" TargetMode="External"/><Relationship Id="rId87" Type="http://schemas.openxmlformats.org/officeDocument/2006/relationships/ctrlProp" Target="../ctrlProps/ctrlProp166.xml"/><Relationship Id="rId110" Type="http://schemas.openxmlformats.org/officeDocument/2006/relationships/ctrlProp" Target="../ctrlProps/ctrlProp189.xml"/><Relationship Id="rId131" Type="http://schemas.openxmlformats.org/officeDocument/2006/relationships/ctrlProp" Target="../ctrlProps/ctrlProp210.xml"/><Relationship Id="rId152" Type="http://schemas.openxmlformats.org/officeDocument/2006/relationships/ctrlProp" Target="../ctrlProps/ctrlProp231.xml"/><Relationship Id="rId173" Type="http://schemas.openxmlformats.org/officeDocument/2006/relationships/ctrlProp" Target="../ctrlProps/ctrlProp252.xml"/><Relationship Id="rId194" Type="http://schemas.openxmlformats.org/officeDocument/2006/relationships/ctrlProp" Target="../ctrlProps/ctrlProp273.xml"/><Relationship Id="rId208" Type="http://schemas.openxmlformats.org/officeDocument/2006/relationships/ctrlProp" Target="../ctrlProps/ctrlProp287.xml"/><Relationship Id="rId229" Type="http://schemas.openxmlformats.org/officeDocument/2006/relationships/ctrlProp" Target="../ctrlProps/ctrlProp308.xml"/><Relationship Id="rId240" Type="http://schemas.openxmlformats.org/officeDocument/2006/relationships/ctrlProp" Target="../ctrlProps/ctrlProp319.xml"/><Relationship Id="rId14" Type="http://schemas.openxmlformats.org/officeDocument/2006/relationships/hyperlink" Target="https://player.vimeo.com/video/143712817?title=0&amp;byline=0&amp;portrait=0" TargetMode="External"/><Relationship Id="rId35" Type="http://schemas.openxmlformats.org/officeDocument/2006/relationships/hyperlink" Target="https://www.panthera.se/webpages/delar_broms_enhands.html" TargetMode="External"/><Relationship Id="rId56" Type="http://schemas.openxmlformats.org/officeDocument/2006/relationships/hyperlink" Target="https://www.panthera.se/images/parts/S3_swing_fostad_hojd_pil.jpg" TargetMode="External"/><Relationship Id="rId77" Type="http://schemas.openxmlformats.org/officeDocument/2006/relationships/hyperlink" Target="https://www.panthera.se/images/parts/dack_marathon_plus_1250.jpg" TargetMode="External"/><Relationship Id="rId100" Type="http://schemas.openxmlformats.org/officeDocument/2006/relationships/ctrlProp" Target="../ctrlProps/ctrlProp179.xml"/><Relationship Id="rId8" Type="http://schemas.openxmlformats.org/officeDocument/2006/relationships/hyperlink" Target="https://www.panthera.se/webpages/tillbehor_ekerskydd_tryck.html" TargetMode="External"/><Relationship Id="rId98" Type="http://schemas.openxmlformats.org/officeDocument/2006/relationships/ctrlProp" Target="../ctrlProps/ctrlProp177.xml"/><Relationship Id="rId121" Type="http://schemas.openxmlformats.org/officeDocument/2006/relationships/ctrlProp" Target="../ctrlProps/ctrlProp200.xml"/><Relationship Id="rId142" Type="http://schemas.openxmlformats.org/officeDocument/2006/relationships/ctrlProp" Target="../ctrlProps/ctrlProp221.xml"/><Relationship Id="rId163" Type="http://schemas.openxmlformats.org/officeDocument/2006/relationships/ctrlProp" Target="../ctrlProps/ctrlProp242.xml"/><Relationship Id="rId184" Type="http://schemas.openxmlformats.org/officeDocument/2006/relationships/ctrlProp" Target="../ctrlProps/ctrlProp263.xml"/><Relationship Id="rId219" Type="http://schemas.openxmlformats.org/officeDocument/2006/relationships/ctrlProp" Target="../ctrlProps/ctrlProp298.xml"/><Relationship Id="rId230" Type="http://schemas.openxmlformats.org/officeDocument/2006/relationships/ctrlProp" Target="../ctrlProps/ctrlProp309.xml"/><Relationship Id="rId251" Type="http://schemas.openxmlformats.org/officeDocument/2006/relationships/ctrlProp" Target="../ctrlProps/ctrlProp330.xml"/><Relationship Id="rId25" Type="http://schemas.openxmlformats.org/officeDocument/2006/relationships/hyperlink" Target="https://www.panthera.se/images/parts/dack_schwalbe_1250.jpg" TargetMode="External"/><Relationship Id="rId46" Type="http://schemas.openxmlformats.org/officeDocument/2006/relationships/hyperlink" Target="https://www.panthera.se/webpages/tillbehor_korhandtag_fallbart.html" TargetMode="External"/><Relationship Id="rId67" Type="http://schemas.openxmlformats.org/officeDocument/2006/relationships/hyperlink" Target="https://www.panthera.se/webpages/tillbehor_rorskydd.html" TargetMode="External"/><Relationship Id="rId88" Type="http://schemas.openxmlformats.org/officeDocument/2006/relationships/ctrlProp" Target="../ctrlProps/ctrlProp167.xml"/><Relationship Id="rId111" Type="http://schemas.openxmlformats.org/officeDocument/2006/relationships/ctrlProp" Target="../ctrlProps/ctrlProp190.xml"/><Relationship Id="rId132" Type="http://schemas.openxmlformats.org/officeDocument/2006/relationships/ctrlProp" Target="../ctrlProps/ctrlProp211.xml"/><Relationship Id="rId153" Type="http://schemas.openxmlformats.org/officeDocument/2006/relationships/ctrlProp" Target="../ctrlProps/ctrlProp232.xml"/><Relationship Id="rId174" Type="http://schemas.openxmlformats.org/officeDocument/2006/relationships/ctrlProp" Target="../ctrlProps/ctrlProp253.xml"/><Relationship Id="rId195" Type="http://schemas.openxmlformats.org/officeDocument/2006/relationships/ctrlProp" Target="../ctrlProps/ctrlProp274.xml"/><Relationship Id="rId209" Type="http://schemas.openxmlformats.org/officeDocument/2006/relationships/ctrlProp" Target="../ctrlProps/ctrlProp288.xml"/><Relationship Id="rId220" Type="http://schemas.openxmlformats.org/officeDocument/2006/relationships/ctrlProp" Target="../ctrlProps/ctrlProp299.xml"/><Relationship Id="rId241" Type="http://schemas.openxmlformats.org/officeDocument/2006/relationships/ctrlProp" Target="../ctrlProps/ctrlProp320.xml"/><Relationship Id="rId15" Type="http://schemas.openxmlformats.org/officeDocument/2006/relationships/hyperlink" Target="https://www.panthera.se/webpages/delar_broms_enhands.html" TargetMode="External"/><Relationship Id="rId36" Type="http://schemas.openxmlformats.org/officeDocument/2006/relationships/hyperlink" Target="https://www.panthera.se/webpages/delar_fotstod_fotplatta.html" TargetMode="External"/><Relationship Id="rId57" Type="http://schemas.openxmlformats.org/officeDocument/2006/relationships/hyperlink" Target="https://www.panthera.se/images/parts/S3_fotstod_pil.jpg" TargetMode="External"/><Relationship Id="rId78" Type="http://schemas.openxmlformats.org/officeDocument/2006/relationships/hyperlink" Target="https://www.panthera.se/images/parts/dack_marathon_plus_1250.jpg" TargetMode="External"/><Relationship Id="rId99" Type="http://schemas.openxmlformats.org/officeDocument/2006/relationships/ctrlProp" Target="../ctrlProps/ctrlProp178.xml"/><Relationship Id="rId101" Type="http://schemas.openxmlformats.org/officeDocument/2006/relationships/ctrlProp" Target="../ctrlProps/ctrlProp180.xml"/><Relationship Id="rId122" Type="http://schemas.openxmlformats.org/officeDocument/2006/relationships/ctrlProp" Target="../ctrlProps/ctrlProp201.xml"/><Relationship Id="rId143" Type="http://schemas.openxmlformats.org/officeDocument/2006/relationships/ctrlProp" Target="../ctrlProps/ctrlProp222.xml"/><Relationship Id="rId164" Type="http://schemas.openxmlformats.org/officeDocument/2006/relationships/ctrlProp" Target="../ctrlProps/ctrlProp243.xml"/><Relationship Id="rId185" Type="http://schemas.openxmlformats.org/officeDocument/2006/relationships/ctrlProp" Target="../ctrlProps/ctrlProp264.xml"/><Relationship Id="rId9" Type="http://schemas.openxmlformats.org/officeDocument/2006/relationships/hyperlink" Target="https://www.panthera.se/webpages/tillbehor_dyna_S3.html" TargetMode="External"/><Relationship Id="rId210" Type="http://schemas.openxmlformats.org/officeDocument/2006/relationships/ctrlProp" Target="../ctrlProps/ctrlProp289.xml"/><Relationship Id="rId26" Type="http://schemas.openxmlformats.org/officeDocument/2006/relationships/hyperlink" Target="https://www.panthera.se/images/parts/drivhjul_spinergy_X_1250.jpg" TargetMode="External"/><Relationship Id="rId231" Type="http://schemas.openxmlformats.org/officeDocument/2006/relationships/ctrlProp" Target="../ctrlProps/ctrlProp310.xml"/><Relationship Id="rId252" Type="http://schemas.openxmlformats.org/officeDocument/2006/relationships/ctrlProp" Target="../ctrlProps/ctrlProp331.xml"/><Relationship Id="rId47" Type="http://schemas.openxmlformats.org/officeDocument/2006/relationships/hyperlink" Target="https://www.panthera.se/webpages/tillbehor_korhandtag_S3.html" TargetMode="External"/><Relationship Id="rId68" Type="http://schemas.openxmlformats.org/officeDocument/2006/relationships/hyperlink" Target="https://www.panthera.se/webpages/tillbehor_kryckhallare_S3.html" TargetMode="External"/><Relationship Id="rId89" Type="http://schemas.openxmlformats.org/officeDocument/2006/relationships/ctrlProp" Target="../ctrlProps/ctrlProp168.xml"/><Relationship Id="rId112" Type="http://schemas.openxmlformats.org/officeDocument/2006/relationships/ctrlProp" Target="../ctrlProps/ctrlProp191.xml"/><Relationship Id="rId133" Type="http://schemas.openxmlformats.org/officeDocument/2006/relationships/ctrlProp" Target="../ctrlProps/ctrlProp212.xml"/><Relationship Id="rId154" Type="http://schemas.openxmlformats.org/officeDocument/2006/relationships/ctrlProp" Target="../ctrlProps/ctrlProp233.xml"/><Relationship Id="rId175" Type="http://schemas.openxmlformats.org/officeDocument/2006/relationships/ctrlProp" Target="../ctrlProps/ctrlProp254.xml"/><Relationship Id="rId196" Type="http://schemas.openxmlformats.org/officeDocument/2006/relationships/ctrlProp" Target="../ctrlProps/ctrlProp275.xml"/><Relationship Id="rId200" Type="http://schemas.openxmlformats.org/officeDocument/2006/relationships/ctrlProp" Target="../ctrlProps/ctrlProp279.xml"/><Relationship Id="rId16" Type="http://schemas.openxmlformats.org/officeDocument/2006/relationships/hyperlink" Target="https://www.panthera.se/en/tillbehor_vardarbroms.html" TargetMode="External"/><Relationship Id="rId221" Type="http://schemas.openxmlformats.org/officeDocument/2006/relationships/ctrlProp" Target="../ctrlProps/ctrlProp300.xml"/><Relationship Id="rId242" Type="http://schemas.openxmlformats.org/officeDocument/2006/relationships/ctrlProp" Target="../ctrlProps/ctrlProp321.xml"/><Relationship Id="rId37" Type="http://schemas.openxmlformats.org/officeDocument/2006/relationships/hyperlink" Target="https://www.panthera.se/webpages/delar_fotstod_std_forstarkt.html" TargetMode="External"/><Relationship Id="rId58" Type="http://schemas.openxmlformats.org/officeDocument/2006/relationships/hyperlink" Target="https://www.panthera.se/images/parts/S3_bakaxel.pos.jpg" TargetMode="External"/><Relationship Id="rId79" Type="http://schemas.openxmlformats.org/officeDocument/2006/relationships/hyperlink" Target="https://www.panthera.se/images/parts/dack_marathon_plus_1250.jpg" TargetMode="External"/><Relationship Id="rId102" Type="http://schemas.openxmlformats.org/officeDocument/2006/relationships/ctrlProp" Target="../ctrlProps/ctrlProp181.xml"/><Relationship Id="rId123" Type="http://schemas.openxmlformats.org/officeDocument/2006/relationships/ctrlProp" Target="../ctrlProps/ctrlProp202.xml"/><Relationship Id="rId144" Type="http://schemas.openxmlformats.org/officeDocument/2006/relationships/ctrlProp" Target="../ctrlProps/ctrlProp223.xml"/><Relationship Id="rId90" Type="http://schemas.openxmlformats.org/officeDocument/2006/relationships/ctrlProp" Target="../ctrlProps/ctrlProp169.xml"/><Relationship Id="rId165" Type="http://schemas.openxmlformats.org/officeDocument/2006/relationships/ctrlProp" Target="../ctrlProps/ctrlProp244.xml"/><Relationship Id="rId186" Type="http://schemas.openxmlformats.org/officeDocument/2006/relationships/ctrlProp" Target="../ctrlProps/ctrlProp265.xml"/><Relationship Id="rId211" Type="http://schemas.openxmlformats.org/officeDocument/2006/relationships/ctrlProp" Target="../ctrlProps/ctrlProp290.xml"/><Relationship Id="rId232" Type="http://schemas.openxmlformats.org/officeDocument/2006/relationships/ctrlProp" Target="../ctrlProps/ctrlProp311.xml"/><Relationship Id="rId253" Type="http://schemas.openxmlformats.org/officeDocument/2006/relationships/ctrlProp" Target="../ctrlProps/ctrlProp332.xml"/><Relationship Id="rId27" Type="http://schemas.openxmlformats.org/officeDocument/2006/relationships/hyperlink" Target="https://www.panthera.se/images/parts/dack_marathon_plus_1250.jpg" TargetMode="External"/><Relationship Id="rId48" Type="http://schemas.openxmlformats.org/officeDocument/2006/relationships/hyperlink" Target="https://www.panthera.se/webpages/tillbehor_korhandtag_S3.html" TargetMode="External"/><Relationship Id="rId69" Type="http://schemas.openxmlformats.org/officeDocument/2006/relationships/hyperlink" Target="https://www.panthera.se/webpages/tillbehor_ryggkil.html" TargetMode="External"/><Relationship Id="rId113" Type="http://schemas.openxmlformats.org/officeDocument/2006/relationships/ctrlProp" Target="../ctrlProps/ctrlProp192.xml"/><Relationship Id="rId134" Type="http://schemas.openxmlformats.org/officeDocument/2006/relationships/ctrlProp" Target="../ctrlProps/ctrlProp213.xml"/><Relationship Id="rId80" Type="http://schemas.openxmlformats.org/officeDocument/2006/relationships/hyperlink" Target="https://www.panthera.se/webpages/delar_fotstod_std.html" TargetMode="External"/><Relationship Id="rId155" Type="http://schemas.openxmlformats.org/officeDocument/2006/relationships/ctrlProp" Target="../ctrlProps/ctrlProp234.xml"/><Relationship Id="rId176" Type="http://schemas.openxmlformats.org/officeDocument/2006/relationships/ctrlProp" Target="../ctrlProps/ctrlProp255.xml"/><Relationship Id="rId197" Type="http://schemas.openxmlformats.org/officeDocument/2006/relationships/ctrlProp" Target="../ctrlProps/ctrlProp276.xml"/><Relationship Id="rId201" Type="http://schemas.openxmlformats.org/officeDocument/2006/relationships/ctrlProp" Target="../ctrlProps/ctrlProp280.xml"/><Relationship Id="rId222" Type="http://schemas.openxmlformats.org/officeDocument/2006/relationships/ctrlProp" Target="../ctrlProps/ctrlProp301.xml"/><Relationship Id="rId243" Type="http://schemas.openxmlformats.org/officeDocument/2006/relationships/ctrlProp" Target="../ctrlProps/ctrlProp322.xml"/><Relationship Id="rId17" Type="http://schemas.openxmlformats.org/officeDocument/2006/relationships/hyperlink" Target="https://www.panthera.se/en/utokatsortiment_ryggar_uu.html" TargetMode="External"/><Relationship Id="rId38" Type="http://schemas.openxmlformats.org/officeDocument/2006/relationships/hyperlink" Target="https://www.panthera.se/webpages/delar_bakaxel.html" TargetMode="External"/><Relationship Id="rId59" Type="http://schemas.openxmlformats.org/officeDocument/2006/relationships/hyperlink" Target="https://www.panthera.se/images/parts/S3_swing_ryggvinkel_pil.jpg" TargetMode="External"/><Relationship Id="rId103" Type="http://schemas.openxmlformats.org/officeDocument/2006/relationships/ctrlProp" Target="../ctrlProps/ctrlProp182.xml"/><Relationship Id="rId124" Type="http://schemas.openxmlformats.org/officeDocument/2006/relationships/ctrlProp" Target="../ctrlProps/ctrlProp203.xml"/><Relationship Id="rId70" Type="http://schemas.openxmlformats.org/officeDocument/2006/relationships/hyperlink" Target="https://www.panthera.se/webpages/delar_drivhjul_enhand.html" TargetMode="External"/><Relationship Id="rId91" Type="http://schemas.openxmlformats.org/officeDocument/2006/relationships/ctrlProp" Target="../ctrlProps/ctrlProp170.xml"/><Relationship Id="rId145" Type="http://schemas.openxmlformats.org/officeDocument/2006/relationships/ctrlProp" Target="../ctrlProps/ctrlProp224.xml"/><Relationship Id="rId166" Type="http://schemas.openxmlformats.org/officeDocument/2006/relationships/ctrlProp" Target="../ctrlProps/ctrlProp245.xml"/><Relationship Id="rId187" Type="http://schemas.openxmlformats.org/officeDocument/2006/relationships/ctrlProp" Target="../ctrlProps/ctrlProp266.xml"/><Relationship Id="rId1" Type="http://schemas.openxmlformats.org/officeDocument/2006/relationships/hyperlink" Target="https://www.panthera.se/webpages/delar_rygg_S3_bb.html" TargetMode="External"/><Relationship Id="rId212" Type="http://schemas.openxmlformats.org/officeDocument/2006/relationships/ctrlProp" Target="../ctrlProps/ctrlProp291.xml"/><Relationship Id="rId233" Type="http://schemas.openxmlformats.org/officeDocument/2006/relationships/ctrlProp" Target="../ctrlProps/ctrlProp312.xml"/><Relationship Id="rId254" Type="http://schemas.openxmlformats.org/officeDocument/2006/relationships/ctrlProp" Target="../ctrlProps/ctrlProp333.xml"/><Relationship Id="rId28" Type="http://schemas.openxmlformats.org/officeDocument/2006/relationships/hyperlink" Target="https://www.panthera.se/images/parts/dack_schwalbe_1250.jpg" TargetMode="External"/><Relationship Id="rId49" Type="http://schemas.openxmlformats.org/officeDocument/2006/relationships/hyperlink" Target="https://player.vimeo.com/video/141898362?title=0&amp;byline=0&amp;portrait=0" TargetMode="External"/><Relationship Id="rId114" Type="http://schemas.openxmlformats.org/officeDocument/2006/relationships/ctrlProp" Target="../ctrlProps/ctrlProp193.xml"/><Relationship Id="rId60" Type="http://schemas.openxmlformats.org/officeDocument/2006/relationships/hyperlink" Target="https://www.panthera.se/webpages/delar_broms_S3.html" TargetMode="External"/><Relationship Id="rId81" Type="http://schemas.openxmlformats.org/officeDocument/2006/relationships/printerSettings" Target="../printerSettings/printerSettings4.bin"/><Relationship Id="rId135" Type="http://schemas.openxmlformats.org/officeDocument/2006/relationships/ctrlProp" Target="../ctrlProps/ctrlProp214.xml"/><Relationship Id="rId156" Type="http://schemas.openxmlformats.org/officeDocument/2006/relationships/ctrlProp" Target="../ctrlProps/ctrlProp235.xml"/><Relationship Id="rId177" Type="http://schemas.openxmlformats.org/officeDocument/2006/relationships/ctrlProp" Target="../ctrlProps/ctrlProp256.xml"/><Relationship Id="rId198" Type="http://schemas.openxmlformats.org/officeDocument/2006/relationships/ctrlProp" Target="../ctrlProps/ctrlProp277.xml"/><Relationship Id="rId202" Type="http://schemas.openxmlformats.org/officeDocument/2006/relationships/ctrlProp" Target="../ctrlProps/ctrlProp281.xml"/><Relationship Id="rId223" Type="http://schemas.openxmlformats.org/officeDocument/2006/relationships/ctrlProp" Target="../ctrlProps/ctrlProp302.xml"/><Relationship Id="rId244" Type="http://schemas.openxmlformats.org/officeDocument/2006/relationships/ctrlProp" Target="../ctrlProps/ctrlProp323.xml"/><Relationship Id="rId18" Type="http://schemas.openxmlformats.org/officeDocument/2006/relationships/hyperlink" Target="https://www.panthera.se/webpages/delar_rygg_all_S3.html" TargetMode="External"/><Relationship Id="rId39" Type="http://schemas.openxmlformats.org/officeDocument/2006/relationships/hyperlink" Target="https://www.panthera.se/webpages/delar_framgaffel_S3.html" TargetMode="External"/><Relationship Id="rId50" Type="http://schemas.openxmlformats.org/officeDocument/2006/relationships/hyperlink" Target="https://www.panthera.se/webpages/tillbehor_sidoskydd_S3.html" TargetMode="External"/><Relationship Id="rId104" Type="http://schemas.openxmlformats.org/officeDocument/2006/relationships/ctrlProp" Target="../ctrlProps/ctrlProp183.xml"/><Relationship Id="rId125" Type="http://schemas.openxmlformats.org/officeDocument/2006/relationships/ctrlProp" Target="../ctrlProps/ctrlProp204.xml"/><Relationship Id="rId146" Type="http://schemas.openxmlformats.org/officeDocument/2006/relationships/ctrlProp" Target="../ctrlProps/ctrlProp225.xml"/><Relationship Id="rId167" Type="http://schemas.openxmlformats.org/officeDocument/2006/relationships/ctrlProp" Target="../ctrlProps/ctrlProp246.xml"/><Relationship Id="rId188" Type="http://schemas.openxmlformats.org/officeDocument/2006/relationships/ctrlProp" Target="../ctrlProps/ctrlProp267.xml"/><Relationship Id="rId71" Type="http://schemas.openxmlformats.org/officeDocument/2006/relationships/hyperlink" Target="https://www.panthera.se/products/produkt_Y3.html" TargetMode="External"/><Relationship Id="rId92" Type="http://schemas.openxmlformats.org/officeDocument/2006/relationships/ctrlProp" Target="../ctrlProps/ctrlProp171.xml"/><Relationship Id="rId213" Type="http://schemas.openxmlformats.org/officeDocument/2006/relationships/ctrlProp" Target="../ctrlProps/ctrlProp292.xml"/><Relationship Id="rId234" Type="http://schemas.openxmlformats.org/officeDocument/2006/relationships/ctrlProp" Target="../ctrlProps/ctrlProp313.xml"/><Relationship Id="rId2" Type="http://schemas.openxmlformats.org/officeDocument/2006/relationships/hyperlink" Target="https://www.panthera.se/images/accessories/ekerskydd_tryck_4_1250.jpg" TargetMode="External"/><Relationship Id="rId29" Type="http://schemas.openxmlformats.org/officeDocument/2006/relationships/hyperlink" Target="https://www.panthera.se/webpages/delar_fotstod_carbon.html" TargetMode="External"/><Relationship Id="rId40" Type="http://schemas.openxmlformats.org/officeDocument/2006/relationships/hyperlink" Target="https://www.panthera.se/webpages/tillbehor_freewheel.html" TargetMode="External"/><Relationship Id="rId115" Type="http://schemas.openxmlformats.org/officeDocument/2006/relationships/ctrlProp" Target="../ctrlProps/ctrlProp194.xml"/><Relationship Id="rId136" Type="http://schemas.openxmlformats.org/officeDocument/2006/relationships/ctrlProp" Target="../ctrlProps/ctrlProp215.xml"/><Relationship Id="rId157" Type="http://schemas.openxmlformats.org/officeDocument/2006/relationships/ctrlProp" Target="../ctrlProps/ctrlProp236.xml"/><Relationship Id="rId178" Type="http://schemas.openxmlformats.org/officeDocument/2006/relationships/ctrlProp" Target="../ctrlProps/ctrlProp257.xml"/><Relationship Id="rId61" Type="http://schemas.openxmlformats.org/officeDocument/2006/relationships/hyperlink" Target="https://www.panthera.se/webpages/tillbehor_sidoskydd_armstod_S3.html" TargetMode="External"/><Relationship Id="rId82" Type="http://schemas.openxmlformats.org/officeDocument/2006/relationships/drawing" Target="../drawings/drawing3.xml"/><Relationship Id="rId199" Type="http://schemas.openxmlformats.org/officeDocument/2006/relationships/ctrlProp" Target="../ctrlProps/ctrlProp278.xml"/><Relationship Id="rId203" Type="http://schemas.openxmlformats.org/officeDocument/2006/relationships/ctrlProp" Target="../ctrlProps/ctrlProp282.xml"/><Relationship Id="rId19" Type="http://schemas.openxmlformats.org/officeDocument/2006/relationships/hyperlink" Target="https://www.panthera.se/en/utokatsortiment_ryggar_dins.html" TargetMode="External"/><Relationship Id="rId224" Type="http://schemas.openxmlformats.org/officeDocument/2006/relationships/ctrlProp" Target="../ctrlProps/ctrlProp303.xml"/><Relationship Id="rId245" Type="http://schemas.openxmlformats.org/officeDocument/2006/relationships/ctrlProp" Target="../ctrlProps/ctrlProp324.xml"/><Relationship Id="rId30" Type="http://schemas.openxmlformats.org/officeDocument/2006/relationships/hyperlink" Target="https://www.panthera.se/webpages/tillbehor_korbage_S3.html" TargetMode="External"/><Relationship Id="rId105" Type="http://schemas.openxmlformats.org/officeDocument/2006/relationships/ctrlProp" Target="../ctrlProps/ctrlProp184.xml"/><Relationship Id="rId126" Type="http://schemas.openxmlformats.org/officeDocument/2006/relationships/ctrlProp" Target="../ctrlProps/ctrlProp205.xml"/><Relationship Id="rId147" Type="http://schemas.openxmlformats.org/officeDocument/2006/relationships/ctrlProp" Target="../ctrlProps/ctrlProp226.xml"/><Relationship Id="rId168" Type="http://schemas.openxmlformats.org/officeDocument/2006/relationships/ctrlProp" Target="../ctrlProps/ctrlProp247.xml"/><Relationship Id="rId51" Type="http://schemas.openxmlformats.org/officeDocument/2006/relationships/hyperlink" Target="https://www.panthera.se/webpages/delar_drivring_titan.html" TargetMode="External"/><Relationship Id="rId72" Type="http://schemas.openxmlformats.org/officeDocument/2006/relationships/hyperlink" Target="https://www.panthera.se/products/produkt_Y3_kort.html" TargetMode="External"/><Relationship Id="rId93" Type="http://schemas.openxmlformats.org/officeDocument/2006/relationships/ctrlProp" Target="../ctrlProps/ctrlProp172.xml"/><Relationship Id="rId189" Type="http://schemas.openxmlformats.org/officeDocument/2006/relationships/ctrlProp" Target="../ctrlProps/ctrlProp268.xml"/><Relationship Id="rId3" Type="http://schemas.openxmlformats.org/officeDocument/2006/relationships/hyperlink" Target="https://www.panthera.se/images/accessories/ekerskydd_tryck_2_1250.jpg" TargetMode="External"/><Relationship Id="rId214" Type="http://schemas.openxmlformats.org/officeDocument/2006/relationships/ctrlProp" Target="../ctrlProps/ctrlProp293.xml"/><Relationship Id="rId235" Type="http://schemas.openxmlformats.org/officeDocument/2006/relationships/ctrlProp" Target="../ctrlProps/ctrlProp314.xml"/><Relationship Id="rId116" Type="http://schemas.openxmlformats.org/officeDocument/2006/relationships/ctrlProp" Target="../ctrlProps/ctrlProp195.xml"/><Relationship Id="rId137" Type="http://schemas.openxmlformats.org/officeDocument/2006/relationships/ctrlProp" Target="../ctrlProps/ctrlProp216.xml"/><Relationship Id="rId158" Type="http://schemas.openxmlformats.org/officeDocument/2006/relationships/ctrlProp" Target="../ctrlProps/ctrlProp237.xml"/><Relationship Id="rId20" Type="http://schemas.openxmlformats.org/officeDocument/2006/relationships/hyperlink" Target="https://www.panthera.se/webpages/delar_rygg_S3_fast.html" TargetMode="External"/><Relationship Id="rId41" Type="http://schemas.openxmlformats.org/officeDocument/2006/relationships/hyperlink" Target="https://www.panthera.se/webpages/tillbehor_freewheel.html" TargetMode="External"/><Relationship Id="rId62" Type="http://schemas.openxmlformats.org/officeDocument/2006/relationships/hyperlink" Target="https://www.panthera.se/en/tillbehor_freewheel.html" TargetMode="External"/><Relationship Id="rId83" Type="http://schemas.openxmlformats.org/officeDocument/2006/relationships/vmlDrawing" Target="../drawings/vmlDrawing2.vml"/><Relationship Id="rId179" Type="http://schemas.openxmlformats.org/officeDocument/2006/relationships/ctrlProp" Target="../ctrlProps/ctrlProp258.xml"/><Relationship Id="rId190" Type="http://schemas.openxmlformats.org/officeDocument/2006/relationships/ctrlProp" Target="../ctrlProps/ctrlProp269.xml"/><Relationship Id="rId204" Type="http://schemas.openxmlformats.org/officeDocument/2006/relationships/ctrlProp" Target="../ctrlProps/ctrlProp283.xml"/><Relationship Id="rId225" Type="http://schemas.openxmlformats.org/officeDocument/2006/relationships/ctrlProp" Target="../ctrlProps/ctrlProp304.xml"/><Relationship Id="rId246" Type="http://schemas.openxmlformats.org/officeDocument/2006/relationships/ctrlProp" Target="../ctrlProps/ctrlProp325.xml"/><Relationship Id="rId106" Type="http://schemas.openxmlformats.org/officeDocument/2006/relationships/ctrlProp" Target="../ctrlProps/ctrlProp185.xml"/><Relationship Id="rId127" Type="http://schemas.openxmlformats.org/officeDocument/2006/relationships/ctrlProp" Target="../ctrlProps/ctrlProp206.xml"/><Relationship Id="rId10" Type="http://schemas.openxmlformats.org/officeDocument/2006/relationships/hyperlink" Target="https://player.vimeo.com/video/142345897?title=0&amp;byline=0&amp;portrait=0" TargetMode="External"/><Relationship Id="rId31" Type="http://schemas.openxmlformats.org/officeDocument/2006/relationships/hyperlink" Target="https://www.panthera.se/webpages/tillbehor_sidoskydd_carbon_S3.html" TargetMode="External"/><Relationship Id="rId52" Type="http://schemas.openxmlformats.org/officeDocument/2006/relationships/hyperlink" Target="https://www.panthera.se/webpages/delar_drivhjul_std.html" TargetMode="External"/><Relationship Id="rId73" Type="http://schemas.openxmlformats.org/officeDocument/2006/relationships/hyperlink" Target="https://www.panthera.se/products/produkt_Y3_lag.html" TargetMode="External"/><Relationship Id="rId94" Type="http://schemas.openxmlformats.org/officeDocument/2006/relationships/ctrlProp" Target="../ctrlProps/ctrlProp173.xml"/><Relationship Id="rId148" Type="http://schemas.openxmlformats.org/officeDocument/2006/relationships/ctrlProp" Target="../ctrlProps/ctrlProp227.xml"/><Relationship Id="rId169" Type="http://schemas.openxmlformats.org/officeDocument/2006/relationships/ctrlProp" Target="../ctrlProps/ctrlProp248.xml"/><Relationship Id="rId4" Type="http://schemas.openxmlformats.org/officeDocument/2006/relationships/hyperlink" Target="https://www.panthera.se/images/accessories/ekerskydd_tryck_3_1250.jpg" TargetMode="External"/><Relationship Id="rId180" Type="http://schemas.openxmlformats.org/officeDocument/2006/relationships/ctrlProp" Target="../ctrlProps/ctrlProp259.xml"/><Relationship Id="rId215" Type="http://schemas.openxmlformats.org/officeDocument/2006/relationships/ctrlProp" Target="../ctrlProps/ctrlProp294.xml"/><Relationship Id="rId236" Type="http://schemas.openxmlformats.org/officeDocument/2006/relationships/ctrlProp" Target="../ctrlProps/ctrlProp315.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371.xml"/><Relationship Id="rId21" Type="http://schemas.openxmlformats.org/officeDocument/2006/relationships/hyperlink" Target="https://www.panthera.se/webpages/delar_drivring_paragrip.html" TargetMode="External"/><Relationship Id="rId63" Type="http://schemas.openxmlformats.org/officeDocument/2006/relationships/hyperlink" Target="https://www.panthera.se/images/accessories/rorskydd_std_front_1250.jpg" TargetMode="External"/><Relationship Id="rId159" Type="http://schemas.openxmlformats.org/officeDocument/2006/relationships/ctrlProp" Target="../ctrlProps/ctrlProp413.xml"/><Relationship Id="rId170" Type="http://schemas.openxmlformats.org/officeDocument/2006/relationships/ctrlProp" Target="../ctrlProps/ctrlProp424.xml"/><Relationship Id="rId191" Type="http://schemas.openxmlformats.org/officeDocument/2006/relationships/ctrlProp" Target="../ctrlProps/ctrlProp445.xml"/><Relationship Id="rId205" Type="http://schemas.openxmlformats.org/officeDocument/2006/relationships/ctrlProp" Target="../ctrlProps/ctrlProp459.xml"/><Relationship Id="rId226" Type="http://schemas.openxmlformats.org/officeDocument/2006/relationships/ctrlProp" Target="../ctrlProps/ctrlProp480.xml"/><Relationship Id="rId247" Type="http://schemas.openxmlformats.org/officeDocument/2006/relationships/ctrlProp" Target="../ctrlProps/ctrlProp501.xml"/><Relationship Id="rId107" Type="http://schemas.openxmlformats.org/officeDocument/2006/relationships/ctrlProp" Target="../ctrlProps/ctrlProp361.xml"/><Relationship Id="rId11" Type="http://schemas.openxmlformats.org/officeDocument/2006/relationships/hyperlink" Target="https://player.vimeo.com/video/163530867?title=0&amp;byline=0&amp;portrait=0" TargetMode="External"/><Relationship Id="rId32" Type="http://schemas.openxmlformats.org/officeDocument/2006/relationships/hyperlink" Target="https://www.panthera.se/products/produkt_S3_kort.html" TargetMode="External"/><Relationship Id="rId53" Type="http://schemas.openxmlformats.org/officeDocument/2006/relationships/hyperlink" Target="https://www.panthera.se/products/produkt_S3_swing_long_50.html" TargetMode="External"/><Relationship Id="rId74" Type="http://schemas.openxmlformats.org/officeDocument/2006/relationships/hyperlink" Target="https://www.panthera.se/images/parts/dack_PU_black_1250.jpg" TargetMode="External"/><Relationship Id="rId128" Type="http://schemas.openxmlformats.org/officeDocument/2006/relationships/ctrlProp" Target="../ctrlProps/ctrlProp382.xml"/><Relationship Id="rId149" Type="http://schemas.openxmlformats.org/officeDocument/2006/relationships/ctrlProp" Target="../ctrlProps/ctrlProp403.xml"/><Relationship Id="rId5" Type="http://schemas.openxmlformats.org/officeDocument/2006/relationships/hyperlink" Target="https://www.panthera.se/webpages/delar_drivhjul_enhand.html" TargetMode="External"/><Relationship Id="rId95" Type="http://schemas.openxmlformats.org/officeDocument/2006/relationships/ctrlProp" Target="../ctrlProps/ctrlProp349.xml"/><Relationship Id="rId160" Type="http://schemas.openxmlformats.org/officeDocument/2006/relationships/ctrlProp" Target="../ctrlProps/ctrlProp414.xml"/><Relationship Id="rId181" Type="http://schemas.openxmlformats.org/officeDocument/2006/relationships/ctrlProp" Target="../ctrlProps/ctrlProp435.xml"/><Relationship Id="rId216" Type="http://schemas.openxmlformats.org/officeDocument/2006/relationships/ctrlProp" Target="../ctrlProps/ctrlProp470.xml"/><Relationship Id="rId237" Type="http://schemas.openxmlformats.org/officeDocument/2006/relationships/ctrlProp" Target="../ctrlProps/ctrlProp491.xml"/><Relationship Id="rId258" Type="http://schemas.openxmlformats.org/officeDocument/2006/relationships/ctrlProp" Target="../ctrlProps/ctrlProp512.xml"/><Relationship Id="rId22" Type="http://schemas.openxmlformats.org/officeDocument/2006/relationships/hyperlink" Target="https://www.panthera.se/webpages/delar_drivring_tetragrip.html" TargetMode="External"/><Relationship Id="rId43" Type="http://schemas.openxmlformats.org/officeDocument/2006/relationships/hyperlink" Target="https://www.panthera.se/webpages/tillbehor_ekerskydd_tryck.html" TargetMode="External"/><Relationship Id="rId64" Type="http://schemas.openxmlformats.org/officeDocument/2006/relationships/hyperlink" Target="https://www.panthera.se/images/accessories/rorskydd_std_rear_1250.jpg" TargetMode="External"/><Relationship Id="rId118" Type="http://schemas.openxmlformats.org/officeDocument/2006/relationships/ctrlProp" Target="../ctrlProps/ctrlProp372.xml"/><Relationship Id="rId139" Type="http://schemas.openxmlformats.org/officeDocument/2006/relationships/ctrlProp" Target="../ctrlProps/ctrlProp393.xml"/><Relationship Id="rId85" Type="http://schemas.openxmlformats.org/officeDocument/2006/relationships/ctrlProp" Target="../ctrlProps/ctrlProp339.xml"/><Relationship Id="rId150" Type="http://schemas.openxmlformats.org/officeDocument/2006/relationships/ctrlProp" Target="../ctrlProps/ctrlProp404.xml"/><Relationship Id="rId171" Type="http://schemas.openxmlformats.org/officeDocument/2006/relationships/ctrlProp" Target="../ctrlProps/ctrlProp425.xml"/><Relationship Id="rId192" Type="http://schemas.openxmlformats.org/officeDocument/2006/relationships/ctrlProp" Target="../ctrlProps/ctrlProp446.xml"/><Relationship Id="rId206" Type="http://schemas.openxmlformats.org/officeDocument/2006/relationships/ctrlProp" Target="../ctrlProps/ctrlProp460.xml"/><Relationship Id="rId227" Type="http://schemas.openxmlformats.org/officeDocument/2006/relationships/ctrlProp" Target="../ctrlProps/ctrlProp481.xml"/><Relationship Id="rId248" Type="http://schemas.openxmlformats.org/officeDocument/2006/relationships/ctrlProp" Target="../ctrlProps/ctrlProp502.xml"/><Relationship Id="rId12" Type="http://schemas.openxmlformats.org/officeDocument/2006/relationships/hyperlink" Target="https://www.panthera.se/webpages/tillbehor_korhandtag_fallbart.html" TargetMode="External"/><Relationship Id="rId33" Type="http://schemas.openxmlformats.org/officeDocument/2006/relationships/hyperlink" Target="https://www.panthera.se/webpages/delar_rygg_S3_fast.html" TargetMode="External"/><Relationship Id="rId108" Type="http://schemas.openxmlformats.org/officeDocument/2006/relationships/ctrlProp" Target="../ctrlProps/ctrlProp362.xml"/><Relationship Id="rId129" Type="http://schemas.openxmlformats.org/officeDocument/2006/relationships/ctrlProp" Target="../ctrlProps/ctrlProp383.xml"/><Relationship Id="rId54" Type="http://schemas.openxmlformats.org/officeDocument/2006/relationships/hyperlink" Target="https://www.panthera.se/en/delar_fotstod_fallbara.html" TargetMode="External"/><Relationship Id="rId75" Type="http://schemas.openxmlformats.org/officeDocument/2006/relationships/hyperlink" Target="https://www.panthera.se/images/parts/dack_grov_1250.jpg" TargetMode="External"/><Relationship Id="rId96" Type="http://schemas.openxmlformats.org/officeDocument/2006/relationships/ctrlProp" Target="../ctrlProps/ctrlProp350.xml"/><Relationship Id="rId140" Type="http://schemas.openxmlformats.org/officeDocument/2006/relationships/ctrlProp" Target="../ctrlProps/ctrlProp394.xml"/><Relationship Id="rId161" Type="http://schemas.openxmlformats.org/officeDocument/2006/relationships/ctrlProp" Target="../ctrlProps/ctrlProp415.xml"/><Relationship Id="rId182" Type="http://schemas.openxmlformats.org/officeDocument/2006/relationships/ctrlProp" Target="../ctrlProps/ctrlProp436.xml"/><Relationship Id="rId217" Type="http://schemas.openxmlformats.org/officeDocument/2006/relationships/ctrlProp" Target="../ctrlProps/ctrlProp471.xml"/><Relationship Id="rId6" Type="http://schemas.openxmlformats.org/officeDocument/2006/relationships/hyperlink" Target="https://www.panthera.se/webpages/delar_drivring_titan.html" TargetMode="External"/><Relationship Id="rId238" Type="http://schemas.openxmlformats.org/officeDocument/2006/relationships/ctrlProp" Target="../ctrlProps/ctrlProp492.xml"/><Relationship Id="rId259" Type="http://schemas.openxmlformats.org/officeDocument/2006/relationships/ctrlProp" Target="../ctrlProps/ctrlProp513.xml"/><Relationship Id="rId23" Type="http://schemas.openxmlformats.org/officeDocument/2006/relationships/hyperlink" Target="https://www.panthera.se/webpages/tillbehor_korbage_S3.html" TargetMode="External"/><Relationship Id="rId119" Type="http://schemas.openxmlformats.org/officeDocument/2006/relationships/ctrlProp" Target="../ctrlProps/ctrlProp373.xml"/><Relationship Id="rId44" Type="http://schemas.openxmlformats.org/officeDocument/2006/relationships/hyperlink" Target="https://www.panthera.se/webpages/tillbehor_ekerskydd_utantryck.html" TargetMode="External"/><Relationship Id="rId65" Type="http://schemas.openxmlformats.org/officeDocument/2006/relationships/hyperlink" Target="https://www.panthera.se/en/tillbehor_ryggkil.html" TargetMode="External"/><Relationship Id="rId86" Type="http://schemas.openxmlformats.org/officeDocument/2006/relationships/ctrlProp" Target="../ctrlProps/ctrlProp340.xml"/><Relationship Id="rId130" Type="http://schemas.openxmlformats.org/officeDocument/2006/relationships/ctrlProp" Target="../ctrlProps/ctrlProp384.xml"/><Relationship Id="rId151" Type="http://schemas.openxmlformats.org/officeDocument/2006/relationships/ctrlProp" Target="../ctrlProps/ctrlProp405.xml"/><Relationship Id="rId172" Type="http://schemas.openxmlformats.org/officeDocument/2006/relationships/ctrlProp" Target="../ctrlProps/ctrlProp426.xml"/><Relationship Id="rId193" Type="http://schemas.openxmlformats.org/officeDocument/2006/relationships/ctrlProp" Target="../ctrlProps/ctrlProp447.xml"/><Relationship Id="rId207" Type="http://schemas.openxmlformats.org/officeDocument/2006/relationships/ctrlProp" Target="../ctrlProps/ctrlProp461.xml"/><Relationship Id="rId228" Type="http://schemas.openxmlformats.org/officeDocument/2006/relationships/ctrlProp" Target="../ctrlProps/ctrlProp482.xml"/><Relationship Id="rId249" Type="http://schemas.openxmlformats.org/officeDocument/2006/relationships/ctrlProp" Target="../ctrlProps/ctrlProp503.xml"/><Relationship Id="rId13" Type="http://schemas.openxmlformats.org/officeDocument/2006/relationships/hyperlink" Target="https://www.panthera.se/webpages/tillbehor_dyna_S3.html" TargetMode="External"/><Relationship Id="rId109" Type="http://schemas.openxmlformats.org/officeDocument/2006/relationships/ctrlProp" Target="../ctrlProps/ctrlProp363.xml"/><Relationship Id="rId260" Type="http://schemas.openxmlformats.org/officeDocument/2006/relationships/ctrlProp" Target="../ctrlProps/ctrlProp514.xml"/><Relationship Id="rId34" Type="http://schemas.openxmlformats.org/officeDocument/2006/relationships/hyperlink" Target="https://www.panthera.se/webpages/utokatsortiment_ryggar_dins.html" TargetMode="External"/><Relationship Id="rId55" Type="http://schemas.openxmlformats.org/officeDocument/2006/relationships/hyperlink" Target="https://www.panthera.se/webpages/tillbehor_sidoskydd_armstod_S3.html" TargetMode="External"/><Relationship Id="rId76" Type="http://schemas.openxmlformats.org/officeDocument/2006/relationships/hyperlink" Target="https://www.panthera.se/images/parts/dack_marathon_plus_1250.jpg" TargetMode="External"/><Relationship Id="rId97" Type="http://schemas.openxmlformats.org/officeDocument/2006/relationships/ctrlProp" Target="../ctrlProps/ctrlProp351.xml"/><Relationship Id="rId120" Type="http://schemas.openxmlformats.org/officeDocument/2006/relationships/ctrlProp" Target="../ctrlProps/ctrlProp374.xml"/><Relationship Id="rId141" Type="http://schemas.openxmlformats.org/officeDocument/2006/relationships/ctrlProp" Target="../ctrlProps/ctrlProp395.xml"/><Relationship Id="rId7" Type="http://schemas.openxmlformats.org/officeDocument/2006/relationships/hyperlink" Target="https://www.panthera.se/webpages/tillbehor_sidoskydd_S3.html" TargetMode="External"/><Relationship Id="rId162" Type="http://schemas.openxmlformats.org/officeDocument/2006/relationships/ctrlProp" Target="../ctrlProps/ctrlProp416.xml"/><Relationship Id="rId183" Type="http://schemas.openxmlformats.org/officeDocument/2006/relationships/ctrlProp" Target="../ctrlProps/ctrlProp437.xml"/><Relationship Id="rId218" Type="http://schemas.openxmlformats.org/officeDocument/2006/relationships/ctrlProp" Target="../ctrlProps/ctrlProp472.xml"/><Relationship Id="rId239" Type="http://schemas.openxmlformats.org/officeDocument/2006/relationships/ctrlProp" Target="../ctrlProps/ctrlProp493.xml"/><Relationship Id="rId250" Type="http://schemas.openxmlformats.org/officeDocument/2006/relationships/ctrlProp" Target="../ctrlProps/ctrlProp504.xml"/><Relationship Id="rId24" Type="http://schemas.openxmlformats.org/officeDocument/2006/relationships/hyperlink" Target="https://www.panthera.se/images/parts/dack_schwalbe_1250.jpg" TargetMode="External"/><Relationship Id="rId45" Type="http://schemas.openxmlformats.org/officeDocument/2006/relationships/hyperlink" Target="https://www.panthera.se/webpages/tillbehor_korbage_S3.html" TargetMode="External"/><Relationship Id="rId66" Type="http://schemas.openxmlformats.org/officeDocument/2006/relationships/hyperlink" Target="https://www.panthera.se/en/tillbehor_kryckhallare_S3.html" TargetMode="External"/><Relationship Id="rId87" Type="http://schemas.openxmlformats.org/officeDocument/2006/relationships/ctrlProp" Target="../ctrlProps/ctrlProp341.xml"/><Relationship Id="rId110" Type="http://schemas.openxmlformats.org/officeDocument/2006/relationships/ctrlProp" Target="../ctrlProps/ctrlProp364.xml"/><Relationship Id="rId131" Type="http://schemas.openxmlformats.org/officeDocument/2006/relationships/ctrlProp" Target="../ctrlProps/ctrlProp385.xml"/><Relationship Id="rId152" Type="http://schemas.openxmlformats.org/officeDocument/2006/relationships/ctrlProp" Target="../ctrlProps/ctrlProp406.xml"/><Relationship Id="rId173" Type="http://schemas.openxmlformats.org/officeDocument/2006/relationships/ctrlProp" Target="../ctrlProps/ctrlProp427.xml"/><Relationship Id="rId194" Type="http://schemas.openxmlformats.org/officeDocument/2006/relationships/ctrlProp" Target="../ctrlProps/ctrlProp448.xml"/><Relationship Id="rId208" Type="http://schemas.openxmlformats.org/officeDocument/2006/relationships/ctrlProp" Target="../ctrlProps/ctrlProp462.xml"/><Relationship Id="rId229" Type="http://schemas.openxmlformats.org/officeDocument/2006/relationships/ctrlProp" Target="../ctrlProps/ctrlProp483.xml"/><Relationship Id="rId240" Type="http://schemas.openxmlformats.org/officeDocument/2006/relationships/ctrlProp" Target="../ctrlProps/ctrlProp494.xml"/><Relationship Id="rId261" Type="http://schemas.openxmlformats.org/officeDocument/2006/relationships/ctrlProp" Target="../ctrlProps/ctrlProp515.xml"/><Relationship Id="rId14" Type="http://schemas.openxmlformats.org/officeDocument/2006/relationships/hyperlink" Target="https://www.panthera.se/webpages/tillbehor_dyna_kildyna.html" TargetMode="External"/><Relationship Id="rId35" Type="http://schemas.openxmlformats.org/officeDocument/2006/relationships/hyperlink" Target="https://www.panthera.se/webpages/delar_rygg_all_S3.html" TargetMode="External"/><Relationship Id="rId56" Type="http://schemas.openxmlformats.org/officeDocument/2006/relationships/hyperlink" Target="https://www.panthera.se/webpages/tillbehor_bord_S3.html" TargetMode="External"/><Relationship Id="rId77" Type="http://schemas.openxmlformats.org/officeDocument/2006/relationships/printerSettings" Target="../printerSettings/printerSettings5.bin"/><Relationship Id="rId100" Type="http://schemas.openxmlformats.org/officeDocument/2006/relationships/ctrlProp" Target="../ctrlProps/ctrlProp354.xml"/><Relationship Id="rId8" Type="http://schemas.openxmlformats.org/officeDocument/2006/relationships/hyperlink" Target="https://player.vimeo.com/video/141898362?title=0&amp;byline=0&amp;portrait=0" TargetMode="External"/><Relationship Id="rId98" Type="http://schemas.openxmlformats.org/officeDocument/2006/relationships/ctrlProp" Target="../ctrlProps/ctrlProp352.xml"/><Relationship Id="rId121" Type="http://schemas.openxmlformats.org/officeDocument/2006/relationships/ctrlProp" Target="../ctrlProps/ctrlProp375.xml"/><Relationship Id="rId142" Type="http://schemas.openxmlformats.org/officeDocument/2006/relationships/ctrlProp" Target="../ctrlProps/ctrlProp396.xml"/><Relationship Id="rId163" Type="http://schemas.openxmlformats.org/officeDocument/2006/relationships/ctrlProp" Target="../ctrlProps/ctrlProp417.xml"/><Relationship Id="rId184" Type="http://schemas.openxmlformats.org/officeDocument/2006/relationships/ctrlProp" Target="../ctrlProps/ctrlProp438.xml"/><Relationship Id="rId219" Type="http://schemas.openxmlformats.org/officeDocument/2006/relationships/ctrlProp" Target="../ctrlProps/ctrlProp473.xml"/><Relationship Id="rId230" Type="http://schemas.openxmlformats.org/officeDocument/2006/relationships/ctrlProp" Target="../ctrlProps/ctrlProp484.xml"/><Relationship Id="rId251" Type="http://schemas.openxmlformats.org/officeDocument/2006/relationships/ctrlProp" Target="../ctrlProps/ctrlProp505.xml"/><Relationship Id="rId25" Type="http://schemas.openxmlformats.org/officeDocument/2006/relationships/hyperlink" Target="https://www.panthera.se/images/parts/drivhjul_spinergy_X_1250.jpg" TargetMode="External"/><Relationship Id="rId46" Type="http://schemas.openxmlformats.org/officeDocument/2006/relationships/hyperlink" Target="https://www.panthera.se/webpages/tillbehor_tippskydd_S3.html" TargetMode="External"/><Relationship Id="rId67" Type="http://schemas.openxmlformats.org/officeDocument/2006/relationships/hyperlink" Target="https://www.panthera.se/webpages/tillbehor_freewheel.html" TargetMode="External"/><Relationship Id="rId88" Type="http://schemas.openxmlformats.org/officeDocument/2006/relationships/ctrlProp" Target="../ctrlProps/ctrlProp342.xml"/><Relationship Id="rId111" Type="http://schemas.openxmlformats.org/officeDocument/2006/relationships/ctrlProp" Target="../ctrlProps/ctrlProp365.xml"/><Relationship Id="rId132" Type="http://schemas.openxmlformats.org/officeDocument/2006/relationships/ctrlProp" Target="../ctrlProps/ctrlProp386.xml"/><Relationship Id="rId153" Type="http://schemas.openxmlformats.org/officeDocument/2006/relationships/ctrlProp" Target="../ctrlProps/ctrlProp407.xml"/><Relationship Id="rId174" Type="http://schemas.openxmlformats.org/officeDocument/2006/relationships/ctrlProp" Target="../ctrlProps/ctrlProp428.xml"/><Relationship Id="rId195" Type="http://schemas.openxmlformats.org/officeDocument/2006/relationships/ctrlProp" Target="../ctrlProps/ctrlProp449.xml"/><Relationship Id="rId209" Type="http://schemas.openxmlformats.org/officeDocument/2006/relationships/ctrlProp" Target="../ctrlProps/ctrlProp463.xml"/><Relationship Id="rId220" Type="http://schemas.openxmlformats.org/officeDocument/2006/relationships/ctrlProp" Target="../ctrlProps/ctrlProp474.xml"/><Relationship Id="rId241" Type="http://schemas.openxmlformats.org/officeDocument/2006/relationships/ctrlProp" Target="../ctrlProps/ctrlProp495.xml"/><Relationship Id="rId15" Type="http://schemas.openxmlformats.org/officeDocument/2006/relationships/hyperlink" Target="https://www.panthera.se/webpages/delar_rygg_S3_ins.html" TargetMode="External"/><Relationship Id="rId36" Type="http://schemas.openxmlformats.org/officeDocument/2006/relationships/hyperlink" Target="https://www.panthera.se/webpages/utokatsortiment_ryggar_uu.html" TargetMode="External"/><Relationship Id="rId57" Type="http://schemas.openxmlformats.org/officeDocument/2006/relationships/hyperlink" Target="https://www.panthera.se/en/delar_dack_retyre.html" TargetMode="External"/><Relationship Id="rId262" Type="http://schemas.openxmlformats.org/officeDocument/2006/relationships/ctrlProp" Target="../ctrlProps/ctrlProp516.xml"/><Relationship Id="rId78" Type="http://schemas.openxmlformats.org/officeDocument/2006/relationships/drawing" Target="../drawings/drawing4.xml"/><Relationship Id="rId99" Type="http://schemas.openxmlformats.org/officeDocument/2006/relationships/ctrlProp" Target="../ctrlProps/ctrlProp353.xml"/><Relationship Id="rId101" Type="http://schemas.openxmlformats.org/officeDocument/2006/relationships/ctrlProp" Target="../ctrlProps/ctrlProp355.xml"/><Relationship Id="rId122" Type="http://schemas.openxmlformats.org/officeDocument/2006/relationships/ctrlProp" Target="../ctrlProps/ctrlProp376.xml"/><Relationship Id="rId143" Type="http://schemas.openxmlformats.org/officeDocument/2006/relationships/ctrlProp" Target="../ctrlProps/ctrlProp397.xml"/><Relationship Id="rId164" Type="http://schemas.openxmlformats.org/officeDocument/2006/relationships/ctrlProp" Target="../ctrlProps/ctrlProp418.xml"/><Relationship Id="rId185" Type="http://schemas.openxmlformats.org/officeDocument/2006/relationships/ctrlProp" Target="../ctrlProps/ctrlProp439.xml"/><Relationship Id="rId9" Type="http://schemas.openxmlformats.org/officeDocument/2006/relationships/hyperlink" Target="https://www.panthera.se/webpages/tillbehor_korhandtag_S3.html" TargetMode="External"/><Relationship Id="rId210" Type="http://schemas.openxmlformats.org/officeDocument/2006/relationships/ctrlProp" Target="../ctrlProps/ctrlProp464.xml"/><Relationship Id="rId26" Type="http://schemas.openxmlformats.org/officeDocument/2006/relationships/hyperlink" Target="https://www.panthera.se/images/parts/dack_schwalbe_1250.jpg" TargetMode="External"/><Relationship Id="rId231" Type="http://schemas.openxmlformats.org/officeDocument/2006/relationships/ctrlProp" Target="../ctrlProps/ctrlProp485.xml"/><Relationship Id="rId252" Type="http://schemas.openxmlformats.org/officeDocument/2006/relationships/ctrlProp" Target="../ctrlProps/ctrlProp506.xml"/><Relationship Id="rId47" Type="http://schemas.openxmlformats.org/officeDocument/2006/relationships/hyperlink" Target="https://www.panthera.se/images/accessories/ekerskydd_tryck_3_1250.jpg" TargetMode="External"/><Relationship Id="rId68" Type="http://schemas.openxmlformats.org/officeDocument/2006/relationships/hyperlink" Target="https://www.panthera.se/images/parts/S3_swing_ryggvinkel_pil.jpg" TargetMode="External"/><Relationship Id="rId89" Type="http://schemas.openxmlformats.org/officeDocument/2006/relationships/ctrlProp" Target="../ctrlProps/ctrlProp343.xml"/><Relationship Id="rId112" Type="http://schemas.openxmlformats.org/officeDocument/2006/relationships/ctrlProp" Target="../ctrlProps/ctrlProp366.xml"/><Relationship Id="rId133" Type="http://schemas.openxmlformats.org/officeDocument/2006/relationships/ctrlProp" Target="../ctrlProps/ctrlProp387.xml"/><Relationship Id="rId154" Type="http://schemas.openxmlformats.org/officeDocument/2006/relationships/ctrlProp" Target="../ctrlProps/ctrlProp408.xml"/><Relationship Id="rId175" Type="http://schemas.openxmlformats.org/officeDocument/2006/relationships/ctrlProp" Target="../ctrlProps/ctrlProp429.xml"/><Relationship Id="rId196" Type="http://schemas.openxmlformats.org/officeDocument/2006/relationships/ctrlProp" Target="../ctrlProps/ctrlProp450.xml"/><Relationship Id="rId200" Type="http://schemas.openxmlformats.org/officeDocument/2006/relationships/ctrlProp" Target="../ctrlProps/ctrlProp454.xml"/><Relationship Id="rId16" Type="http://schemas.openxmlformats.org/officeDocument/2006/relationships/hyperlink" Target="https://www.panthera.se/webpages/delar_bakaxel_carbon.html" TargetMode="External"/><Relationship Id="rId221" Type="http://schemas.openxmlformats.org/officeDocument/2006/relationships/ctrlProp" Target="../ctrlProps/ctrlProp475.xml"/><Relationship Id="rId242" Type="http://schemas.openxmlformats.org/officeDocument/2006/relationships/ctrlProp" Target="../ctrlProps/ctrlProp496.xml"/><Relationship Id="rId37" Type="http://schemas.openxmlformats.org/officeDocument/2006/relationships/hyperlink" Target="https://www.panthera.se/en/tillbehor_vardarbroms.html" TargetMode="External"/><Relationship Id="rId58" Type="http://schemas.openxmlformats.org/officeDocument/2006/relationships/hyperlink" Target="https://www.panthera.se/webpages/delar_fotstod_S3_swing.html" TargetMode="External"/><Relationship Id="rId79" Type="http://schemas.openxmlformats.org/officeDocument/2006/relationships/vmlDrawing" Target="../drawings/vmlDrawing3.vml"/><Relationship Id="rId102" Type="http://schemas.openxmlformats.org/officeDocument/2006/relationships/ctrlProp" Target="../ctrlProps/ctrlProp356.xml"/><Relationship Id="rId123" Type="http://schemas.openxmlformats.org/officeDocument/2006/relationships/ctrlProp" Target="../ctrlProps/ctrlProp377.xml"/><Relationship Id="rId144" Type="http://schemas.openxmlformats.org/officeDocument/2006/relationships/ctrlProp" Target="../ctrlProps/ctrlProp398.xml"/><Relationship Id="rId90" Type="http://schemas.openxmlformats.org/officeDocument/2006/relationships/ctrlProp" Target="../ctrlProps/ctrlProp344.xml"/><Relationship Id="rId165" Type="http://schemas.openxmlformats.org/officeDocument/2006/relationships/ctrlProp" Target="../ctrlProps/ctrlProp419.xml"/><Relationship Id="rId186" Type="http://schemas.openxmlformats.org/officeDocument/2006/relationships/ctrlProp" Target="../ctrlProps/ctrlProp440.xml"/><Relationship Id="rId211" Type="http://schemas.openxmlformats.org/officeDocument/2006/relationships/ctrlProp" Target="../ctrlProps/ctrlProp465.xml"/><Relationship Id="rId232" Type="http://schemas.openxmlformats.org/officeDocument/2006/relationships/ctrlProp" Target="../ctrlProps/ctrlProp486.xml"/><Relationship Id="rId253" Type="http://schemas.openxmlformats.org/officeDocument/2006/relationships/ctrlProp" Target="../ctrlProps/ctrlProp507.xml"/><Relationship Id="rId27" Type="http://schemas.openxmlformats.org/officeDocument/2006/relationships/hyperlink" Target="https://www.panthera.se/images/parts/dack_marathon_plus_1250.jpg" TargetMode="External"/><Relationship Id="rId48" Type="http://schemas.openxmlformats.org/officeDocument/2006/relationships/hyperlink" Target="https://www.panthera.se/images/accessories/ekerskydd_tryck_2_1250.jpg" TargetMode="External"/><Relationship Id="rId69" Type="http://schemas.openxmlformats.org/officeDocument/2006/relationships/hyperlink" Target="https://www.panthera.se/images/parts/S3_fotstod_pil.jpg" TargetMode="External"/><Relationship Id="rId113" Type="http://schemas.openxmlformats.org/officeDocument/2006/relationships/ctrlProp" Target="../ctrlProps/ctrlProp367.xml"/><Relationship Id="rId134" Type="http://schemas.openxmlformats.org/officeDocument/2006/relationships/ctrlProp" Target="../ctrlProps/ctrlProp388.xml"/><Relationship Id="rId80" Type="http://schemas.openxmlformats.org/officeDocument/2006/relationships/ctrlProp" Target="../ctrlProps/ctrlProp334.xml"/><Relationship Id="rId155" Type="http://schemas.openxmlformats.org/officeDocument/2006/relationships/ctrlProp" Target="../ctrlProps/ctrlProp409.xml"/><Relationship Id="rId176" Type="http://schemas.openxmlformats.org/officeDocument/2006/relationships/ctrlProp" Target="../ctrlProps/ctrlProp430.xml"/><Relationship Id="rId197" Type="http://schemas.openxmlformats.org/officeDocument/2006/relationships/ctrlProp" Target="../ctrlProps/ctrlProp451.xml"/><Relationship Id="rId201" Type="http://schemas.openxmlformats.org/officeDocument/2006/relationships/ctrlProp" Target="../ctrlProps/ctrlProp455.xml"/><Relationship Id="rId222" Type="http://schemas.openxmlformats.org/officeDocument/2006/relationships/ctrlProp" Target="../ctrlProps/ctrlProp476.xml"/><Relationship Id="rId243" Type="http://schemas.openxmlformats.org/officeDocument/2006/relationships/ctrlProp" Target="../ctrlProps/ctrlProp497.xml"/><Relationship Id="rId17" Type="http://schemas.openxmlformats.org/officeDocument/2006/relationships/hyperlink" Target="https://www.panthera.se/en/tillbehor_freewheel.html" TargetMode="External"/><Relationship Id="rId38" Type="http://schemas.openxmlformats.org/officeDocument/2006/relationships/hyperlink" Target="https://player.vimeo.com/video/143712817?title=0&amp;byline=0&amp;portrait=0" TargetMode="External"/><Relationship Id="rId59" Type="http://schemas.openxmlformats.org/officeDocument/2006/relationships/hyperlink" Target="https://www.panthera.se/images/parts/fotplatta_stor_1250.jpg" TargetMode="External"/><Relationship Id="rId103" Type="http://schemas.openxmlformats.org/officeDocument/2006/relationships/ctrlProp" Target="../ctrlProps/ctrlProp357.xml"/><Relationship Id="rId124" Type="http://schemas.openxmlformats.org/officeDocument/2006/relationships/ctrlProp" Target="../ctrlProps/ctrlProp378.xml"/><Relationship Id="rId70" Type="http://schemas.openxmlformats.org/officeDocument/2006/relationships/hyperlink" Target="https://www.panthera.se/images/parts/S3_bakaxel.pos.jpg" TargetMode="External"/><Relationship Id="rId91" Type="http://schemas.openxmlformats.org/officeDocument/2006/relationships/ctrlProp" Target="../ctrlProps/ctrlProp345.xml"/><Relationship Id="rId145" Type="http://schemas.openxmlformats.org/officeDocument/2006/relationships/ctrlProp" Target="../ctrlProps/ctrlProp399.xml"/><Relationship Id="rId166" Type="http://schemas.openxmlformats.org/officeDocument/2006/relationships/ctrlProp" Target="../ctrlProps/ctrlProp420.xml"/><Relationship Id="rId187" Type="http://schemas.openxmlformats.org/officeDocument/2006/relationships/ctrlProp" Target="../ctrlProps/ctrlProp441.xml"/><Relationship Id="rId1" Type="http://schemas.openxmlformats.org/officeDocument/2006/relationships/hyperlink" Target="https://www.panthera.se/webpages/delar_rygg_all_S3.html" TargetMode="External"/><Relationship Id="rId212" Type="http://schemas.openxmlformats.org/officeDocument/2006/relationships/ctrlProp" Target="../ctrlProps/ctrlProp466.xml"/><Relationship Id="rId233" Type="http://schemas.openxmlformats.org/officeDocument/2006/relationships/ctrlProp" Target="../ctrlProps/ctrlProp487.xml"/><Relationship Id="rId254" Type="http://schemas.openxmlformats.org/officeDocument/2006/relationships/ctrlProp" Target="../ctrlProps/ctrlProp508.xml"/><Relationship Id="rId28" Type="http://schemas.openxmlformats.org/officeDocument/2006/relationships/hyperlink" Target="https://www.panthera.se/images/parts/drivhjul_spinergy_X_vit_125.jpg" TargetMode="External"/><Relationship Id="rId49" Type="http://schemas.openxmlformats.org/officeDocument/2006/relationships/hyperlink" Target="https://www.panthera.se/images/accessories/ekerskydd_tryck_4_1250.jpg" TargetMode="External"/><Relationship Id="rId114" Type="http://schemas.openxmlformats.org/officeDocument/2006/relationships/ctrlProp" Target="../ctrlProps/ctrlProp368.xml"/><Relationship Id="rId60" Type="http://schemas.openxmlformats.org/officeDocument/2006/relationships/hyperlink" Target="https://www.panthera.se/images/parts/fotplatta_forlangda_1250.jpg" TargetMode="External"/><Relationship Id="rId81" Type="http://schemas.openxmlformats.org/officeDocument/2006/relationships/ctrlProp" Target="../ctrlProps/ctrlProp335.xml"/><Relationship Id="rId135" Type="http://schemas.openxmlformats.org/officeDocument/2006/relationships/ctrlProp" Target="../ctrlProps/ctrlProp389.xml"/><Relationship Id="rId156" Type="http://schemas.openxmlformats.org/officeDocument/2006/relationships/ctrlProp" Target="../ctrlProps/ctrlProp410.xml"/><Relationship Id="rId177" Type="http://schemas.openxmlformats.org/officeDocument/2006/relationships/ctrlProp" Target="../ctrlProps/ctrlProp431.xml"/><Relationship Id="rId198" Type="http://schemas.openxmlformats.org/officeDocument/2006/relationships/ctrlProp" Target="../ctrlProps/ctrlProp452.xml"/><Relationship Id="rId202" Type="http://schemas.openxmlformats.org/officeDocument/2006/relationships/ctrlProp" Target="../ctrlProps/ctrlProp456.xml"/><Relationship Id="rId223" Type="http://schemas.openxmlformats.org/officeDocument/2006/relationships/ctrlProp" Target="../ctrlProps/ctrlProp477.xml"/><Relationship Id="rId244" Type="http://schemas.openxmlformats.org/officeDocument/2006/relationships/ctrlProp" Target="../ctrlProps/ctrlProp498.xml"/><Relationship Id="rId18" Type="http://schemas.openxmlformats.org/officeDocument/2006/relationships/hyperlink" Target="https://www.panthera.se/webpages/delar_framgaffel_S3.html" TargetMode="External"/><Relationship Id="rId39" Type="http://schemas.openxmlformats.org/officeDocument/2006/relationships/hyperlink" Target="https://www.panthera.se/webpages/tillbehor_sidoskydd_carbon_small.html" TargetMode="External"/><Relationship Id="rId50" Type="http://schemas.openxmlformats.org/officeDocument/2006/relationships/hyperlink" Target="https://www.panthera.se/webpages/delar_rygg_S3.html" TargetMode="External"/><Relationship Id="rId104" Type="http://schemas.openxmlformats.org/officeDocument/2006/relationships/ctrlProp" Target="../ctrlProps/ctrlProp358.xml"/><Relationship Id="rId125" Type="http://schemas.openxmlformats.org/officeDocument/2006/relationships/ctrlProp" Target="../ctrlProps/ctrlProp379.xml"/><Relationship Id="rId146" Type="http://schemas.openxmlformats.org/officeDocument/2006/relationships/ctrlProp" Target="../ctrlProps/ctrlProp400.xml"/><Relationship Id="rId167" Type="http://schemas.openxmlformats.org/officeDocument/2006/relationships/ctrlProp" Target="../ctrlProps/ctrlProp421.xml"/><Relationship Id="rId188" Type="http://schemas.openxmlformats.org/officeDocument/2006/relationships/ctrlProp" Target="../ctrlProps/ctrlProp442.xml"/><Relationship Id="rId71" Type="http://schemas.openxmlformats.org/officeDocument/2006/relationships/hyperlink" Target="https://www.panthera.se/images/parts/S3_fotstod_pil.jpg" TargetMode="External"/><Relationship Id="rId92" Type="http://schemas.openxmlformats.org/officeDocument/2006/relationships/ctrlProp" Target="../ctrlProps/ctrlProp346.xml"/><Relationship Id="rId213" Type="http://schemas.openxmlformats.org/officeDocument/2006/relationships/ctrlProp" Target="../ctrlProps/ctrlProp467.xml"/><Relationship Id="rId234" Type="http://schemas.openxmlformats.org/officeDocument/2006/relationships/ctrlProp" Target="../ctrlProps/ctrlProp488.xml"/><Relationship Id="rId2" Type="http://schemas.openxmlformats.org/officeDocument/2006/relationships/hyperlink" Target="https://www.panthera.se/images/parts/bakaxel_carbon_1250.jpg" TargetMode="External"/><Relationship Id="rId29" Type="http://schemas.openxmlformats.org/officeDocument/2006/relationships/hyperlink" Target="https://www.panthera.se/webpages/delar_framgaffel_S3_120.html" TargetMode="External"/><Relationship Id="rId255" Type="http://schemas.openxmlformats.org/officeDocument/2006/relationships/ctrlProp" Target="../ctrlProps/ctrlProp509.xml"/><Relationship Id="rId40" Type="http://schemas.openxmlformats.org/officeDocument/2006/relationships/hyperlink" Target="https://player.vimeo.com/video/163398284?title=0&amp;byline=0&amp;portrait=0" TargetMode="External"/><Relationship Id="rId115" Type="http://schemas.openxmlformats.org/officeDocument/2006/relationships/ctrlProp" Target="../ctrlProps/ctrlProp369.xml"/><Relationship Id="rId136" Type="http://schemas.openxmlformats.org/officeDocument/2006/relationships/ctrlProp" Target="../ctrlProps/ctrlProp390.xml"/><Relationship Id="rId157" Type="http://schemas.openxmlformats.org/officeDocument/2006/relationships/ctrlProp" Target="../ctrlProps/ctrlProp411.xml"/><Relationship Id="rId178" Type="http://schemas.openxmlformats.org/officeDocument/2006/relationships/ctrlProp" Target="../ctrlProps/ctrlProp432.xml"/><Relationship Id="rId61" Type="http://schemas.openxmlformats.org/officeDocument/2006/relationships/hyperlink" Target="https://www.panthera.se/webpages/delar_fotstod_fallbara.html" TargetMode="External"/><Relationship Id="rId82" Type="http://schemas.openxmlformats.org/officeDocument/2006/relationships/ctrlProp" Target="../ctrlProps/ctrlProp336.xml"/><Relationship Id="rId199" Type="http://schemas.openxmlformats.org/officeDocument/2006/relationships/ctrlProp" Target="../ctrlProps/ctrlProp453.xml"/><Relationship Id="rId203" Type="http://schemas.openxmlformats.org/officeDocument/2006/relationships/ctrlProp" Target="../ctrlProps/ctrlProp457.xml"/><Relationship Id="rId19" Type="http://schemas.openxmlformats.org/officeDocument/2006/relationships/hyperlink" Target="https://www.panthera.se/webpages/delar_bakaxel.html" TargetMode="External"/><Relationship Id="rId224" Type="http://schemas.openxmlformats.org/officeDocument/2006/relationships/ctrlProp" Target="../ctrlProps/ctrlProp478.xml"/><Relationship Id="rId245" Type="http://schemas.openxmlformats.org/officeDocument/2006/relationships/ctrlProp" Target="../ctrlProps/ctrlProp499.xml"/><Relationship Id="rId30" Type="http://schemas.openxmlformats.org/officeDocument/2006/relationships/hyperlink" Target="https://www.panthera.se/images/parts/drivring_alu_1250_4.jpg" TargetMode="External"/><Relationship Id="rId105" Type="http://schemas.openxmlformats.org/officeDocument/2006/relationships/ctrlProp" Target="../ctrlProps/ctrlProp359.xml"/><Relationship Id="rId126" Type="http://schemas.openxmlformats.org/officeDocument/2006/relationships/ctrlProp" Target="../ctrlProps/ctrlProp380.xml"/><Relationship Id="rId147" Type="http://schemas.openxmlformats.org/officeDocument/2006/relationships/ctrlProp" Target="../ctrlProps/ctrlProp401.xml"/><Relationship Id="rId168" Type="http://schemas.openxmlformats.org/officeDocument/2006/relationships/ctrlProp" Target="../ctrlProps/ctrlProp422.xml"/><Relationship Id="rId51" Type="http://schemas.openxmlformats.org/officeDocument/2006/relationships/hyperlink" Target="https://www.panthera.se/en/produkt_S3_swing_kort.html" TargetMode="External"/><Relationship Id="rId72" Type="http://schemas.openxmlformats.org/officeDocument/2006/relationships/hyperlink" Target="https://www.panthera.se/images/parts/S3_swing_fostad_hojd_pil.jpg" TargetMode="External"/><Relationship Id="rId93" Type="http://schemas.openxmlformats.org/officeDocument/2006/relationships/ctrlProp" Target="../ctrlProps/ctrlProp347.xml"/><Relationship Id="rId189" Type="http://schemas.openxmlformats.org/officeDocument/2006/relationships/ctrlProp" Target="../ctrlProps/ctrlProp443.xml"/><Relationship Id="rId3" Type="http://schemas.openxmlformats.org/officeDocument/2006/relationships/hyperlink" Target="https://www.panthera.se/webpages/delar_broms_S3.html" TargetMode="External"/><Relationship Id="rId214" Type="http://schemas.openxmlformats.org/officeDocument/2006/relationships/ctrlProp" Target="../ctrlProps/ctrlProp468.xml"/><Relationship Id="rId235" Type="http://schemas.openxmlformats.org/officeDocument/2006/relationships/ctrlProp" Target="../ctrlProps/ctrlProp489.xml"/><Relationship Id="rId256" Type="http://schemas.openxmlformats.org/officeDocument/2006/relationships/ctrlProp" Target="../ctrlProps/ctrlProp510.xml"/><Relationship Id="rId116" Type="http://schemas.openxmlformats.org/officeDocument/2006/relationships/ctrlProp" Target="../ctrlProps/ctrlProp370.xml"/><Relationship Id="rId137" Type="http://schemas.openxmlformats.org/officeDocument/2006/relationships/ctrlProp" Target="../ctrlProps/ctrlProp391.xml"/><Relationship Id="rId158" Type="http://schemas.openxmlformats.org/officeDocument/2006/relationships/ctrlProp" Target="../ctrlProps/ctrlProp412.xml"/><Relationship Id="rId20" Type="http://schemas.openxmlformats.org/officeDocument/2006/relationships/hyperlink" Target="https://www.panthera.se/webpages/delar_drivhjul_std.html" TargetMode="External"/><Relationship Id="rId41" Type="http://schemas.openxmlformats.org/officeDocument/2006/relationships/hyperlink" Target="https://player.vimeo.com/video/142345897?title=0&amp;byline=0&amp;portrait=0" TargetMode="External"/><Relationship Id="rId62" Type="http://schemas.openxmlformats.org/officeDocument/2006/relationships/hyperlink" Target="https://www.panthera.se/webpages/delar_drivhjul_std.html" TargetMode="External"/><Relationship Id="rId83" Type="http://schemas.openxmlformats.org/officeDocument/2006/relationships/ctrlProp" Target="../ctrlProps/ctrlProp337.xml"/><Relationship Id="rId179" Type="http://schemas.openxmlformats.org/officeDocument/2006/relationships/ctrlProp" Target="../ctrlProps/ctrlProp433.xml"/><Relationship Id="rId190" Type="http://schemas.openxmlformats.org/officeDocument/2006/relationships/ctrlProp" Target="../ctrlProps/ctrlProp444.xml"/><Relationship Id="rId204" Type="http://schemas.openxmlformats.org/officeDocument/2006/relationships/ctrlProp" Target="../ctrlProps/ctrlProp458.xml"/><Relationship Id="rId225" Type="http://schemas.openxmlformats.org/officeDocument/2006/relationships/ctrlProp" Target="../ctrlProps/ctrlProp479.xml"/><Relationship Id="rId246" Type="http://schemas.openxmlformats.org/officeDocument/2006/relationships/ctrlProp" Target="../ctrlProps/ctrlProp500.xml"/><Relationship Id="rId106" Type="http://schemas.openxmlformats.org/officeDocument/2006/relationships/ctrlProp" Target="../ctrlProps/ctrlProp360.xml"/><Relationship Id="rId127" Type="http://schemas.openxmlformats.org/officeDocument/2006/relationships/ctrlProp" Target="../ctrlProps/ctrlProp381.xml"/><Relationship Id="rId10" Type="http://schemas.openxmlformats.org/officeDocument/2006/relationships/hyperlink" Target="https://www.panthera.se/webpages/tillbehor_korhandtag_S3.html" TargetMode="External"/><Relationship Id="rId31" Type="http://schemas.openxmlformats.org/officeDocument/2006/relationships/hyperlink" Target="https://www.panthera.se/products/produkt_S3_swing.html" TargetMode="External"/><Relationship Id="rId52" Type="http://schemas.openxmlformats.org/officeDocument/2006/relationships/hyperlink" Target="https://www.panthera.se/products/produkt_S3_swing_0.html" TargetMode="External"/><Relationship Id="rId73" Type="http://schemas.openxmlformats.org/officeDocument/2006/relationships/hyperlink" Target="https://www.panthera.se/webpages/chassi_colour_all.html" TargetMode="External"/><Relationship Id="rId94" Type="http://schemas.openxmlformats.org/officeDocument/2006/relationships/ctrlProp" Target="../ctrlProps/ctrlProp348.xml"/><Relationship Id="rId148" Type="http://schemas.openxmlformats.org/officeDocument/2006/relationships/ctrlProp" Target="../ctrlProps/ctrlProp402.xml"/><Relationship Id="rId169" Type="http://schemas.openxmlformats.org/officeDocument/2006/relationships/ctrlProp" Target="../ctrlProps/ctrlProp423.xml"/><Relationship Id="rId4" Type="http://schemas.openxmlformats.org/officeDocument/2006/relationships/hyperlink" Target="https://www.panthera.se/webpages/delar_broms.html" TargetMode="External"/><Relationship Id="rId180" Type="http://schemas.openxmlformats.org/officeDocument/2006/relationships/ctrlProp" Target="../ctrlProps/ctrlProp434.xml"/><Relationship Id="rId215" Type="http://schemas.openxmlformats.org/officeDocument/2006/relationships/ctrlProp" Target="../ctrlProps/ctrlProp469.xml"/><Relationship Id="rId236" Type="http://schemas.openxmlformats.org/officeDocument/2006/relationships/ctrlProp" Target="../ctrlProps/ctrlProp490.xml"/><Relationship Id="rId257" Type="http://schemas.openxmlformats.org/officeDocument/2006/relationships/ctrlProp" Target="../ctrlProps/ctrlProp511.xml"/><Relationship Id="rId42" Type="http://schemas.openxmlformats.org/officeDocument/2006/relationships/hyperlink" Target="https://www.panthera.se/webpages/tillbehor_dyna_S3.html" TargetMode="External"/><Relationship Id="rId84" Type="http://schemas.openxmlformats.org/officeDocument/2006/relationships/ctrlProp" Target="../ctrlProps/ctrlProp338.xml"/><Relationship Id="rId138" Type="http://schemas.openxmlformats.org/officeDocument/2006/relationships/ctrlProp" Target="../ctrlProps/ctrlProp39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EEBA6-A5C9-486F-8E2F-0A14EEC443B4}">
  <sheetPr codeName="Sheet5"/>
  <dimension ref="A1:N9"/>
  <sheetViews>
    <sheetView showGridLines="0" tabSelected="1" workbookViewId="0">
      <pane ySplit="4" topLeftCell="A5" activePane="bottomLeft" state="frozen"/>
      <selection pane="bottomLeft" activeCell="F4" sqref="F4"/>
    </sheetView>
  </sheetViews>
  <sheetFormatPr defaultRowHeight="15" x14ac:dyDescent="0.25"/>
  <sheetData>
    <row r="1" spans="1:14" x14ac:dyDescent="0.25">
      <c r="J1" s="509"/>
      <c r="L1" s="768" t="s">
        <v>5161</v>
      </c>
    </row>
    <row r="2" spans="1:14" x14ac:dyDescent="0.25">
      <c r="J2" s="509"/>
      <c r="L2" s="768" t="s">
        <v>5162</v>
      </c>
    </row>
    <row r="3" spans="1:14" ht="36.75" customHeight="1" x14ac:dyDescent="0.4">
      <c r="A3" s="509"/>
      <c r="B3" s="508"/>
      <c r="C3" s="510"/>
      <c r="D3" s="510"/>
      <c r="E3" s="790" t="str">
        <f>Language!B3</f>
        <v>Beställningsformulär för Panthera:</v>
      </c>
      <c r="F3" s="790"/>
      <c r="G3" s="790"/>
      <c r="H3" s="790"/>
      <c r="I3" s="790"/>
      <c r="J3" s="790"/>
      <c r="L3" s="767" t="s">
        <v>4856</v>
      </c>
    </row>
    <row r="4" spans="1:14" ht="31.5" x14ac:dyDescent="0.5">
      <c r="B4" s="791" t="str">
        <f>Language!B4</f>
        <v>S3 Modeller</v>
      </c>
      <c r="C4" s="791"/>
      <c r="D4" s="791"/>
      <c r="E4" s="711"/>
      <c r="F4" s="712" t="str">
        <f>Language!B5</f>
        <v>U3 Modeller</v>
      </c>
      <c r="G4" s="712"/>
      <c r="H4" s="712"/>
      <c r="I4" s="712" t="str">
        <f>Language!B6</f>
        <v>S3 Swing Modeller</v>
      </c>
      <c r="J4" s="712"/>
      <c r="K4" s="712"/>
      <c r="L4" s="713"/>
      <c r="M4" s="714"/>
      <c r="N4" s="503"/>
    </row>
    <row r="5" spans="1:14" ht="31.5" x14ac:dyDescent="0.5">
      <c r="B5" s="789"/>
      <c r="C5" s="789"/>
      <c r="D5" s="789"/>
      <c r="G5" s="789"/>
      <c r="H5" s="789"/>
      <c r="I5" s="789"/>
      <c r="K5" s="789"/>
      <c r="L5" s="789"/>
      <c r="M5" s="789"/>
      <c r="N5" s="789"/>
    </row>
    <row r="7" spans="1:14" ht="31.5" x14ac:dyDescent="0.5">
      <c r="B7" s="789"/>
      <c r="C7" s="789"/>
      <c r="D7" s="789"/>
    </row>
    <row r="9" spans="1:14" ht="31.5" x14ac:dyDescent="0.5">
      <c r="B9" s="789"/>
      <c r="C9" s="789"/>
      <c r="D9" s="789"/>
      <c r="E9" s="789"/>
    </row>
  </sheetData>
  <sheetProtection algorithmName="SHA-512" hashValue="L8ir6XjpD+oPOZkHlFD4oVx5eGTs6w3iTNjI47uCpyXtiEw0ogRCWjva5b83pT6+hJF1Hqtakw1lxErZg1L6ow==" saltValue="ZR0C71zbg4SyH7gfG9hZEQ==" spinCount="100000" sheet="1" objects="1" scenarios="1"/>
  <mergeCells count="7">
    <mergeCell ref="B7:D7"/>
    <mergeCell ref="B9:E9"/>
    <mergeCell ref="G5:I5"/>
    <mergeCell ref="K5:N5"/>
    <mergeCell ref="E3:J3"/>
    <mergeCell ref="B4:D4"/>
    <mergeCell ref="B5:D5"/>
  </mergeCells>
  <hyperlinks>
    <hyperlink ref="F4:H4" location="'U3 models'!A1" display="U3 Modeller" xr:uid="{D8696DB7-FC90-4721-A435-A26F31A8BDD5}"/>
    <hyperlink ref="I4:K4" location="'S3 Swing models'!A1" display="U3 Modeller" xr:uid="{68EDF1F0-3246-4C6F-8FE7-2DE8FD7EDD62}"/>
    <hyperlink ref="B4:C4" location="'S3 models'!A1" display="S3 Model" xr:uid="{8E793A09-0B71-4B54-B8E9-22380972DF56}"/>
  </hyperlinks>
  <pageMargins left="0.7" right="0.7" top="0.75" bottom="0.75" header="0.3" footer="0.3"/>
  <pageSetup paperSize="9"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8144E-0FEC-4D0A-9AAD-BA509F1ADF22}">
  <sheetPr codeName="Sheet1"/>
  <dimension ref="A1:O1622"/>
  <sheetViews>
    <sheetView showGridLines="0" zoomScale="150" zoomScaleNormal="150" workbookViewId="0">
      <pane ySplit="3" topLeftCell="A4" activePane="bottomLeft" state="frozen"/>
      <selection activeCell="H3" sqref="H3:J3"/>
      <selection pane="bottomLeft" activeCell="A3" sqref="A3"/>
    </sheetView>
  </sheetViews>
  <sheetFormatPr defaultRowHeight="15" x14ac:dyDescent="0.25"/>
  <cols>
    <col min="1" max="1" width="12.140625" style="14" customWidth="1"/>
    <col min="2" max="2" width="7.140625" customWidth="1"/>
    <col min="3" max="6" width="9.7109375" customWidth="1"/>
    <col min="7" max="7" width="9.5703125" customWidth="1"/>
    <col min="8" max="8" width="9.7109375" customWidth="1"/>
    <col min="9" max="9" width="10.7109375" style="2" customWidth="1"/>
    <col min="10" max="10" width="9.7109375" customWidth="1"/>
    <col min="11" max="11" width="10.5703125" style="1" customWidth="1"/>
    <col min="12" max="12" width="9.140625" style="1" customWidth="1"/>
    <col min="13" max="13" width="9.5703125" customWidth="1"/>
  </cols>
  <sheetData>
    <row r="1" spans="1:14" x14ac:dyDescent="0.25">
      <c r="I1" s="601" t="str">
        <f>Language!B10</f>
        <v>Sammanställning</v>
      </c>
      <c r="J1" s="511"/>
    </row>
    <row r="2" spans="1:14" ht="22.5" customHeight="1" x14ac:dyDescent="0.3">
      <c r="B2" s="812" t="str">
        <f>Language!B7</f>
        <v>Beställningsguide Panthera S3 modeller</v>
      </c>
      <c r="C2" s="812"/>
      <c r="D2" s="812"/>
      <c r="E2" s="812"/>
      <c r="F2" s="812"/>
      <c r="G2" s="812"/>
      <c r="H2" s="875" t="str">
        <f>Language!B957</f>
        <v>Pris:</v>
      </c>
      <c r="I2" s="772">
        <f>Weights!D152</f>
        <v>0</v>
      </c>
      <c r="J2" s="334"/>
      <c r="K2" s="334"/>
      <c r="L2" s="81"/>
      <c r="M2" s="19"/>
    </row>
    <row r="3" spans="1:14" ht="20.25" customHeight="1" x14ac:dyDescent="0.25">
      <c r="A3" s="649" t="str">
        <f>Language!B12</f>
        <v>startsida</v>
      </c>
      <c r="B3" s="649" t="str">
        <f>Language!B13</f>
        <v>UPP</v>
      </c>
      <c r="C3" s="649"/>
      <c r="D3" s="55"/>
      <c r="E3" s="559" t="str">
        <f>Language!B14</f>
        <v>Vikt:</v>
      </c>
      <c r="F3" s="107">
        <f>Weights!B152</f>
        <v>0</v>
      </c>
      <c r="G3" s="133" t="s">
        <v>28</v>
      </c>
      <c r="H3" s="876" t="str">
        <f>Language!B15</f>
        <v>Art.nr &amp; vikt ändras beronde på valen som görs i guiden.</v>
      </c>
      <c r="I3" s="877"/>
      <c r="J3" s="878"/>
      <c r="K3" s="97"/>
      <c r="L3" s="81"/>
      <c r="M3" s="19"/>
    </row>
    <row r="4" spans="1:14" ht="6.75" customHeight="1" x14ac:dyDescent="0.25">
      <c r="G4" s="6"/>
      <c r="H4" s="13"/>
    </row>
    <row r="5" spans="1:14" x14ac:dyDescent="0.25">
      <c r="A5" s="557" t="str">
        <f>Language!B16</f>
        <v>Utprovad av:</v>
      </c>
      <c r="B5" s="813"/>
      <c r="C5" s="814"/>
      <c r="D5" s="815"/>
      <c r="E5" s="557" t="str">
        <f>Language!B19</f>
        <v>Tel:</v>
      </c>
      <c r="F5" s="813"/>
      <c r="G5" s="815"/>
      <c r="H5" s="821" t="str">
        <f>Language!B21</f>
        <v xml:space="preserve">Spara guiden till "skrivbordet" och öppna </v>
      </c>
      <c r="I5" s="792"/>
      <c r="J5" s="792"/>
      <c r="K5" s="139"/>
      <c r="L5" s="135"/>
      <c r="M5" s="144"/>
    </row>
    <row r="6" spans="1:14" x14ac:dyDescent="0.25">
      <c r="A6" s="557" t="str">
        <f>Language!B17</f>
        <v>E-post:</v>
      </c>
      <c r="B6" s="818"/>
      <c r="C6" s="819"/>
      <c r="D6" s="820"/>
      <c r="E6" s="557" t="str">
        <f>Language!B20</f>
        <v>Datum:</v>
      </c>
      <c r="F6" s="816"/>
      <c r="G6" s="817"/>
      <c r="H6" s="821" t="str">
        <f>Language!B22</f>
        <v>den med Excel. Bygg din rullstol genom att</v>
      </c>
      <c r="I6" s="792"/>
      <c r="J6" s="792"/>
      <c r="K6" s="140"/>
      <c r="L6" s="135"/>
      <c r="M6" s="144"/>
    </row>
    <row r="7" spans="1:14" x14ac:dyDescent="0.25">
      <c r="A7" s="557" t="str">
        <f>Language!B18</f>
        <v>Utprovad för:</v>
      </c>
      <c r="B7" s="813"/>
      <c r="C7" s="814"/>
      <c r="D7" s="815"/>
      <c r="E7" s="2"/>
      <c r="F7" s="335"/>
      <c r="G7" s="30"/>
      <c r="H7" s="792" t="str">
        <f>Language!B23</f>
        <v xml:space="preserve">klicka i cirklarna. Blå, fet text är </v>
      </c>
      <c r="I7" s="792"/>
      <c r="J7" s="792"/>
      <c r="K7" s="140"/>
      <c r="L7" s="147"/>
    </row>
    <row r="8" spans="1:14" x14ac:dyDescent="0.25">
      <c r="A8" s="557"/>
      <c r="B8" s="557"/>
      <c r="C8" s="557"/>
      <c r="D8" s="557"/>
      <c r="E8" s="2"/>
      <c r="F8" s="335"/>
      <c r="G8" s="30"/>
      <c r="H8" s="792" t="str">
        <f>Language!B24</f>
        <v>en länk för att visa info eller bild.</v>
      </c>
      <c r="I8" s="792"/>
      <c r="J8" s="792"/>
      <c r="K8" s="140"/>
      <c r="L8" s="147"/>
    </row>
    <row r="9" spans="1:14" x14ac:dyDescent="0.25">
      <c r="A9" s="557"/>
      <c r="B9" s="2"/>
      <c r="C9" s="2"/>
      <c r="D9" s="2"/>
      <c r="E9" s="2"/>
      <c r="F9" s="335"/>
      <c r="G9" s="30"/>
      <c r="H9" s="822" t="str">
        <f>Language!B25</f>
        <v>BB = sittbredd, HH= ryggstödshöjd</v>
      </c>
      <c r="I9" s="822"/>
      <c r="J9" s="822"/>
      <c r="K9" s="140"/>
      <c r="L9" s="147"/>
    </row>
    <row r="10" spans="1:14" x14ac:dyDescent="0.25">
      <c r="A10" s="794" t="str">
        <f>Language!B26</f>
        <v>S3 har en justerbar bakaxel av kolfiber. För att hitta en balansering som passar dig så kan bakaxeln flyttas till olika lägen. Ange önskat mått</v>
      </c>
      <c r="B10" s="794"/>
      <c r="C10" s="794"/>
      <c r="D10" s="794"/>
      <c r="E10" s="794"/>
      <c r="F10" s="794"/>
      <c r="G10" s="794"/>
      <c r="H10" s="794"/>
      <c r="I10" s="794"/>
      <c r="J10" s="794"/>
      <c r="K10" s="140"/>
      <c r="L10" s="147"/>
      <c r="M10" s="137"/>
      <c r="N10" s="145"/>
    </row>
    <row r="11" spans="1:14" x14ac:dyDescent="0.25">
      <c r="A11" s="794" t="str">
        <f>Language!B27</f>
        <v>under "Inställningar". S3 har sitthöjd 47 cm fram och 43 bak, utan dyna. För att justera sitthöjden kan andra storlekar av drivhjul eller ett förhöjningskit</v>
      </c>
      <c r="B11" s="794"/>
      <c r="C11" s="794"/>
      <c r="D11" s="794"/>
      <c r="E11" s="794"/>
      <c r="F11" s="794"/>
      <c r="G11" s="794"/>
      <c r="H11" s="794"/>
      <c r="I11" s="794"/>
      <c r="J11" s="794"/>
      <c r="K11" s="140"/>
      <c r="L11" s="147"/>
      <c r="M11" s="31"/>
      <c r="N11" s="3"/>
    </row>
    <row r="12" spans="1:14" x14ac:dyDescent="0.25">
      <c r="A12" s="794" t="str">
        <f>Language!B28</f>
        <v>och passande framgaffel väljas.         Max brukarvikt är 100 kg för sittbredd 33-42 och 150kg för sittbredd 45-50 cm</v>
      </c>
      <c r="B12" s="794"/>
      <c r="C12" s="794"/>
      <c r="D12" s="794"/>
      <c r="E12" s="794"/>
      <c r="F12" s="794"/>
      <c r="G12" s="794"/>
      <c r="H12" s="794"/>
      <c r="I12" s="794"/>
      <c r="J12" s="794"/>
      <c r="K12" s="140"/>
      <c r="L12" s="147"/>
      <c r="M12" s="31"/>
      <c r="N12" s="3"/>
    </row>
    <row r="13" spans="1:14" x14ac:dyDescent="0.25">
      <c r="A13" s="795"/>
      <c r="B13" s="795"/>
      <c r="C13" s="795"/>
      <c r="D13" s="795"/>
      <c r="E13" s="795"/>
      <c r="F13" s="795"/>
      <c r="G13" s="795"/>
      <c r="H13" s="795"/>
      <c r="I13" s="795"/>
      <c r="J13" s="795"/>
      <c r="K13" s="140"/>
      <c r="L13" s="147"/>
      <c r="M13" s="138"/>
      <c r="N13" s="146"/>
    </row>
    <row r="14" spans="1:14" ht="15.75" x14ac:dyDescent="0.25">
      <c r="A14" s="298"/>
      <c r="B14" s="349" t="str">
        <f>Language!B29</f>
        <v>1) S3 modeller</v>
      </c>
      <c r="C14" s="337"/>
      <c r="D14" s="337"/>
      <c r="E14" s="304"/>
      <c r="F14" s="338"/>
      <c r="G14" s="300"/>
      <c r="H14" s="304"/>
      <c r="I14" s="602"/>
      <c r="J14" s="307"/>
      <c r="K14" s="140"/>
      <c r="L14" s="147"/>
      <c r="M14" s="3"/>
      <c r="N14" s="49"/>
    </row>
    <row r="15" spans="1:14" x14ac:dyDescent="0.25">
      <c r="A15" s="78"/>
      <c r="B15" s="336"/>
      <c r="C15" s="336"/>
      <c r="D15" s="336"/>
      <c r="E15" s="72"/>
      <c r="F15" s="335"/>
      <c r="G15" s="74"/>
      <c r="H15" s="75"/>
      <c r="I15" s="72"/>
      <c r="J15" s="76"/>
      <c r="K15" s="140"/>
      <c r="L15" s="147"/>
      <c r="M15" s="3"/>
      <c r="N15" s="49"/>
    </row>
    <row r="16" spans="1:14" x14ac:dyDescent="0.25">
      <c r="A16" s="78"/>
      <c r="B16" s="561" t="str">
        <f>Language!B30</f>
        <v>S3</v>
      </c>
      <c r="C16" s="512"/>
      <c r="D16" s="15" t="str">
        <f>Language!B37</f>
        <v>Sittbredd 33-50 cm, Sittdjup 40 cm</v>
      </c>
      <c r="E16" s="15"/>
      <c r="F16" s="341"/>
      <c r="G16" s="30"/>
      <c r="H16" s="1"/>
      <c r="J16" s="76"/>
      <c r="K16" s="49"/>
      <c r="L16" s="147"/>
      <c r="M16" s="3"/>
      <c r="N16" s="49"/>
    </row>
    <row r="17" spans="1:15" x14ac:dyDescent="0.25">
      <c r="A17" s="78"/>
      <c r="B17" s="561" t="str">
        <f>Language!B31</f>
        <v>S3 Kort</v>
      </c>
      <c r="C17" s="512"/>
      <c r="D17" s="15" t="str">
        <f>Language!B38</f>
        <v>Sittbredd 30-45 cm, Sittdjup 27-33 cm (Sittbredd 30-33), 35 cm (Sittbredd 36-45)</v>
      </c>
      <c r="E17" s="15"/>
      <c r="F17" s="341"/>
      <c r="G17" s="30"/>
      <c r="H17" s="1"/>
      <c r="J17" s="76"/>
      <c r="K17" s="49"/>
      <c r="L17" s="147"/>
      <c r="M17" s="3"/>
      <c r="N17" s="49"/>
    </row>
    <row r="18" spans="1:15" x14ac:dyDescent="0.25">
      <c r="A18" s="78"/>
      <c r="B18" s="561" t="str">
        <f>Language!B32</f>
        <v>S3 Kort Låg</v>
      </c>
      <c r="C18" s="512"/>
      <c r="D18" s="15" t="str">
        <f>Language!B39</f>
        <v>Sittbredd 33-39 cm, Sittdjup 35 cm</v>
      </c>
      <c r="E18" s="15"/>
      <c r="F18" s="341"/>
      <c r="G18" s="30"/>
      <c r="H18" s="1"/>
      <c r="K18" s="140"/>
      <c r="L18" s="147"/>
      <c r="M18" s="3"/>
      <c r="N18" s="49"/>
    </row>
    <row r="19" spans="1:15" x14ac:dyDescent="0.25">
      <c r="A19" s="78"/>
      <c r="B19" s="561" t="str">
        <f>Language!B33</f>
        <v>S3 Large</v>
      </c>
      <c r="C19" s="512"/>
      <c r="D19" s="15" t="str">
        <f>Language!B40</f>
        <v>Sittbredd 39-50 cm, Sittdjup 45 cm</v>
      </c>
      <c r="E19" s="15"/>
      <c r="F19" s="341"/>
      <c r="G19" s="30"/>
      <c r="H19" s="1"/>
      <c r="K19" s="140"/>
      <c r="L19" s="147"/>
      <c r="M19" s="3"/>
      <c r="N19" s="49"/>
    </row>
    <row r="20" spans="1:15" x14ac:dyDescent="0.25">
      <c r="A20" s="78"/>
      <c r="B20" s="561" t="str">
        <f>Language!B34</f>
        <v>S3 Lång</v>
      </c>
      <c r="C20" s="512"/>
      <c r="D20" s="15" t="str">
        <f>Language!B41</f>
        <v>Sittbredd 33-50 cm, Sittdjup 45 cm. Välj färg! Alla färger ingår i pris</v>
      </c>
      <c r="E20" s="15"/>
      <c r="F20" s="341"/>
      <c r="G20" s="30"/>
      <c r="H20" s="1"/>
      <c r="K20" s="140"/>
      <c r="L20" s="147"/>
      <c r="M20" s="3"/>
      <c r="N20" s="49"/>
    </row>
    <row r="21" spans="1:15" x14ac:dyDescent="0.25">
      <c r="A21" s="78"/>
      <c r="B21" s="561" t="str">
        <f>Language!B35</f>
        <v>S3 0°</v>
      </c>
      <c r="C21" s="512"/>
      <c r="D21" s="15" t="str">
        <f>Language!B42</f>
        <v>Sittbredd 33-50 cm, Sittdjup 35, 37.5, 40, 42.5 cm. Välj färg! Alla färger ingår i pris</v>
      </c>
      <c r="E21" s="15"/>
      <c r="F21" s="341"/>
      <c r="G21" s="30"/>
      <c r="H21" s="1"/>
      <c r="K21" s="136"/>
      <c r="L21" s="148"/>
      <c r="M21" s="3"/>
      <c r="N21" s="135"/>
    </row>
    <row r="22" spans="1:15" x14ac:dyDescent="0.25">
      <c r="A22" s="78"/>
      <c r="B22" s="561" t="str">
        <f>Language!B36</f>
        <v>S3 Kort Abd</v>
      </c>
      <c r="C22" s="512"/>
      <c r="D22" s="15" t="str">
        <f>Language!B43</f>
        <v>Sittbredd 27-33 cm, Sittdjup 27-33 cm</v>
      </c>
      <c r="E22" s="15"/>
      <c r="G22" s="30"/>
      <c r="H22" s="1"/>
      <c r="K22" s="111"/>
      <c r="L22" s="148"/>
      <c r="M22" s="111"/>
      <c r="N22" s="150"/>
    </row>
    <row r="23" spans="1:15" x14ac:dyDescent="0.25">
      <c r="A23" s="78"/>
      <c r="B23" s="339"/>
      <c r="C23" s="10" t="str">
        <f>Language!B46</f>
        <v>art.nr.</v>
      </c>
      <c r="D23" s="20"/>
      <c r="E23" s="15"/>
      <c r="G23" s="30"/>
      <c r="H23" s="1"/>
      <c r="K23" s="111"/>
      <c r="L23" s="148"/>
      <c r="M23" s="111"/>
      <c r="N23" s="150"/>
    </row>
    <row r="24" spans="1:15" x14ac:dyDescent="0.25">
      <c r="A24" s="78"/>
      <c r="B24" s="342" t="str">
        <f>Language!B45</f>
        <v xml:space="preserve">  Rensa</v>
      </c>
      <c r="C24" s="343" t="str">
        <f>Weights!E10</f>
        <v/>
      </c>
      <c r="D24" s="344"/>
      <c r="E24" s="797" t="str">
        <f>Language!B44</f>
        <v xml:space="preserve">                  Gulmarkering indikerar 20 dagars lev.tid.</v>
      </c>
      <c r="F24" s="798"/>
      <c r="G24" s="798"/>
      <c r="H24" s="799"/>
      <c r="K24" s="111"/>
      <c r="L24" s="147"/>
      <c r="M24" s="111"/>
      <c r="N24" s="151"/>
    </row>
    <row r="25" spans="1:15" x14ac:dyDescent="0.25">
      <c r="A25" s="78"/>
      <c r="B25" s="342"/>
      <c r="C25" s="345"/>
      <c r="D25" s="344"/>
      <c r="E25" s="2"/>
      <c r="F25" s="341"/>
      <c r="G25" s="30"/>
      <c r="H25" s="1"/>
      <c r="K25" s="111"/>
      <c r="L25" s="147"/>
      <c r="M25" s="111"/>
      <c r="N25" s="151"/>
    </row>
    <row r="26" spans="1:15" ht="15.75" x14ac:dyDescent="0.25">
      <c r="A26" s="294"/>
      <c r="B26" s="349" t="str">
        <f>Language!B47</f>
        <v>2) Chassifärg</v>
      </c>
      <c r="C26" s="346"/>
      <c r="D26" s="347"/>
      <c r="E26" s="298"/>
      <c r="F26" s="348"/>
      <c r="G26" s="300"/>
      <c r="H26" s="301"/>
      <c r="I26" s="298"/>
      <c r="J26" s="303"/>
      <c r="K26" s="111"/>
      <c r="L26" s="147"/>
      <c r="M26" s="111"/>
      <c r="N26" s="151"/>
    </row>
    <row r="27" spans="1:15" x14ac:dyDescent="0.25">
      <c r="A27" s="78"/>
      <c r="B27" s="344"/>
      <c r="C27" s="344"/>
      <c r="D27" s="344"/>
      <c r="E27" s="2"/>
      <c r="F27" s="341"/>
      <c r="G27" s="30"/>
      <c r="H27" s="1"/>
      <c r="K27" s="111"/>
      <c r="L27" s="147"/>
      <c r="M27" s="111"/>
      <c r="N27" s="150"/>
    </row>
    <row r="28" spans="1:15" x14ac:dyDescent="0.25">
      <c r="A28" s="77"/>
      <c r="B28" s="566" t="str">
        <f>Language!B48</f>
        <v>Svart - Anodic Black</v>
      </c>
      <c r="C28" s="566"/>
      <c r="D28" s="1"/>
      <c r="E28" s="563" t="str">
        <f>Language!B50</f>
        <v xml:space="preserve">         Tillvalsfärg</v>
      </c>
      <c r="F28" s="341"/>
      <c r="G28" s="30"/>
      <c r="H28" s="1"/>
      <c r="K28" s="111"/>
      <c r="L28" s="147"/>
      <c r="M28" s="111"/>
      <c r="N28" s="150"/>
    </row>
    <row r="29" spans="1:15" x14ac:dyDescent="0.25">
      <c r="A29" s="77"/>
      <c r="B29" s="566" t="str">
        <f>Language!B49</f>
        <v>Grå - Gray Metallic</v>
      </c>
      <c r="C29" s="566"/>
      <c r="D29" s="344"/>
      <c r="E29" s="564" t="str">
        <f>Language!B51</f>
        <v xml:space="preserve">En leveranstid på 20 dagar tillkommer för tillvalsfärg. </v>
      </c>
      <c r="F29" s="341"/>
      <c r="G29" s="30"/>
      <c r="H29" s="1"/>
      <c r="K29" s="111"/>
      <c r="L29" s="147"/>
      <c r="M29" s="142"/>
      <c r="N29" s="150"/>
    </row>
    <row r="30" spans="1:15" ht="15" customHeight="1" x14ac:dyDescent="0.25">
      <c r="A30" s="77"/>
      <c r="B30" s="342"/>
      <c r="C30" s="562" t="str">
        <f>Language!B46</f>
        <v>art.nr.</v>
      </c>
      <c r="D30" s="344"/>
      <c r="E30" s="564" t="str">
        <f>Language!B52</f>
        <v>Fyll i art.nr. i rutan nedanför</v>
      </c>
      <c r="F30" s="2"/>
      <c r="G30" s="30"/>
      <c r="H30" s="1"/>
      <c r="K30" s="111"/>
      <c r="L30" s="826"/>
      <c r="M30" s="826"/>
      <c r="N30" s="49"/>
      <c r="O30" s="69"/>
    </row>
    <row r="31" spans="1:15" ht="15" customHeight="1" x14ac:dyDescent="0.25">
      <c r="A31" s="77"/>
      <c r="B31" s="342" t="str">
        <f>Language!B45</f>
        <v xml:space="preserve">  Rensa</v>
      </c>
      <c r="C31" s="343" t="str">
        <f>Weights!E15</f>
        <v/>
      </c>
      <c r="D31" s="344"/>
      <c r="E31" s="2"/>
      <c r="F31" s="161"/>
      <c r="G31" s="396"/>
      <c r="H31" s="1"/>
      <c r="K31" s="142"/>
      <c r="L31" s="149"/>
      <c r="M31" s="3"/>
      <c r="N31" s="143"/>
      <c r="O31" s="69"/>
    </row>
    <row r="32" spans="1:15" ht="15" customHeight="1" x14ac:dyDescent="0.25">
      <c r="A32" s="77"/>
      <c r="B32" s="342"/>
      <c r="C32" s="345"/>
      <c r="D32" s="344"/>
      <c r="E32" s="2"/>
      <c r="F32" s="2"/>
      <c r="G32" s="2"/>
      <c r="H32" s="1"/>
      <c r="K32" s="142"/>
      <c r="L32" s="149"/>
      <c r="M32" s="3"/>
      <c r="N32" s="143"/>
      <c r="O32" s="69"/>
    </row>
    <row r="33" spans="1:15" ht="15" customHeight="1" x14ac:dyDescent="0.25">
      <c r="A33" s="308"/>
      <c r="B33" s="349" t="str">
        <f>Language!B53</f>
        <v>3) Sittbredd BB</v>
      </c>
      <c r="C33" s="346"/>
      <c r="D33" s="347"/>
      <c r="E33" s="298"/>
      <c r="F33" s="298"/>
      <c r="G33" s="298"/>
      <c r="H33" s="301"/>
      <c r="I33" s="298"/>
      <c r="J33" s="303"/>
      <c r="K33" s="142"/>
      <c r="L33" s="149"/>
      <c r="M33" s="3"/>
      <c r="N33" s="143"/>
      <c r="O33" s="69"/>
    </row>
    <row r="34" spans="1:15" ht="15" customHeight="1" x14ac:dyDescent="0.25">
      <c r="A34" s="84"/>
      <c r="B34" s="350"/>
      <c r="C34" s="344"/>
      <c r="D34" s="344"/>
      <c r="E34" s="2"/>
      <c r="F34" s="173" t="s">
        <v>46</v>
      </c>
      <c r="G34" s="30"/>
      <c r="H34" s="1"/>
      <c r="K34" s="174"/>
      <c r="L34" s="50"/>
      <c r="M34" s="58"/>
      <c r="N34" s="57"/>
      <c r="O34" s="69"/>
    </row>
    <row r="35" spans="1:15" ht="15" customHeight="1" x14ac:dyDescent="0.25">
      <c r="A35" s="78"/>
      <c r="B35" s="351"/>
      <c r="C35" s="283" t="s">
        <v>50</v>
      </c>
      <c r="D35" s="283" t="s">
        <v>2</v>
      </c>
      <c r="E35" s="283" t="s">
        <v>3</v>
      </c>
      <c r="F35" s="352" t="s">
        <v>4</v>
      </c>
      <c r="G35" s="352" t="s">
        <v>5</v>
      </c>
      <c r="H35" s="283" t="s">
        <v>6</v>
      </c>
      <c r="I35" s="283" t="s">
        <v>7</v>
      </c>
      <c r="J35" s="283" t="s">
        <v>8</v>
      </c>
      <c r="K35" s="177"/>
      <c r="L35" s="50"/>
      <c r="M35" s="58"/>
      <c r="N35" s="57"/>
      <c r="O35" s="69"/>
    </row>
    <row r="36" spans="1:15" ht="15" customHeight="1" x14ac:dyDescent="0.25">
      <c r="A36" s="252"/>
      <c r="B36" s="351"/>
      <c r="C36" s="40"/>
      <c r="D36" s="40"/>
      <c r="E36" s="40"/>
      <c r="F36" s="353"/>
      <c r="G36" s="353"/>
      <c r="H36" s="40"/>
      <c r="I36" s="40"/>
      <c r="J36" s="40"/>
      <c r="K36" s="57"/>
      <c r="L36" s="57"/>
      <c r="M36" s="58"/>
      <c r="N36" s="57"/>
      <c r="O36" s="69"/>
    </row>
    <row r="37" spans="1:15" ht="15" customHeight="1" x14ac:dyDescent="0.25">
      <c r="A37" s="5"/>
      <c r="B37" s="342" t="str">
        <f>Language!B45</f>
        <v xml:space="preserve">  Rensa</v>
      </c>
      <c r="C37" s="354" t="str">
        <f>Weights!E25</f>
        <v xml:space="preserve"> </v>
      </c>
      <c r="D37" s="565" t="str">
        <f>Language!B54</f>
        <v xml:space="preserve">     Möjlig sittbredd:</v>
      </c>
      <c r="E37" s="356"/>
      <c r="F37" s="357" t="str">
        <f>Weights!G22</f>
        <v/>
      </c>
      <c r="G37" s="356"/>
      <c r="H37" s="40"/>
      <c r="I37" s="40"/>
      <c r="J37" s="40"/>
      <c r="K37" s="57"/>
      <c r="L37" s="57"/>
      <c r="M37" s="58"/>
      <c r="N37" s="57"/>
      <c r="O37" s="69"/>
    </row>
    <row r="38" spans="1:15" ht="15" customHeight="1" x14ac:dyDescent="0.25">
      <c r="A38" s="5"/>
      <c r="B38" s="342"/>
      <c r="C38" s="358"/>
      <c r="D38" s="40"/>
      <c r="E38" s="40"/>
      <c r="F38" s="353"/>
      <c r="G38" s="353"/>
      <c r="H38" s="40"/>
      <c r="I38" s="40"/>
      <c r="J38" s="40"/>
      <c r="K38" s="57"/>
      <c r="L38" s="57"/>
      <c r="M38" s="58"/>
      <c r="N38" s="57"/>
      <c r="O38" s="69"/>
    </row>
    <row r="39" spans="1:15" ht="15" customHeight="1" x14ac:dyDescent="0.25">
      <c r="A39" s="308"/>
      <c r="B39" s="349" t="str">
        <f>Language!B56</f>
        <v>4) Sittdjup</v>
      </c>
      <c r="C39" s="346"/>
      <c r="D39" s="347"/>
      <c r="E39" s="298"/>
      <c r="F39" s="298"/>
      <c r="G39" s="298"/>
      <c r="H39" s="301"/>
      <c r="I39" s="298"/>
      <c r="J39" s="303"/>
      <c r="K39" s="57"/>
      <c r="L39" s="57"/>
      <c r="M39" s="58"/>
      <c r="N39" s="57"/>
      <c r="O39" s="69"/>
    </row>
    <row r="40" spans="1:15" ht="15" customHeight="1" x14ac:dyDescent="0.25">
      <c r="A40" s="5"/>
      <c r="B40" s="342"/>
      <c r="C40" s="358"/>
      <c r="D40" s="40"/>
      <c r="E40" s="40"/>
      <c r="F40" s="353"/>
      <c r="G40" s="353"/>
      <c r="H40" s="40"/>
      <c r="I40" s="40"/>
      <c r="J40" s="40"/>
      <c r="K40" s="57"/>
      <c r="L40" s="57"/>
      <c r="M40" s="58"/>
      <c r="N40" s="57"/>
      <c r="O40" s="69"/>
    </row>
    <row r="41" spans="1:15" ht="15" customHeight="1" x14ac:dyDescent="0.25">
      <c r="A41" s="5"/>
      <c r="B41" s="342"/>
      <c r="C41" s="283" t="s">
        <v>149</v>
      </c>
      <c r="D41" s="283" t="s">
        <v>10</v>
      </c>
      <c r="E41" s="283" t="s">
        <v>133</v>
      </c>
      <c r="F41" s="352" t="s">
        <v>9</v>
      </c>
      <c r="G41" s="353" t="s">
        <v>134</v>
      </c>
      <c r="H41" s="283" t="s">
        <v>4649</v>
      </c>
      <c r="I41" s="40"/>
      <c r="J41" s="40"/>
      <c r="K41" s="57"/>
      <c r="L41" s="57"/>
      <c r="M41" s="58"/>
      <c r="N41" s="57"/>
      <c r="O41" s="69"/>
    </row>
    <row r="42" spans="1:15" ht="15" customHeight="1" x14ac:dyDescent="0.25">
      <c r="A42" s="5"/>
      <c r="B42" s="342" t="str">
        <f>Language!B45</f>
        <v xml:space="preserve">  Rensa</v>
      </c>
      <c r="C42" s="354" t="str">
        <f>Weights!E32</f>
        <v>37.5</v>
      </c>
      <c r="D42" s="565" t="str">
        <f>Language!B57</f>
        <v xml:space="preserve">     Möjlig sittdjup:</v>
      </c>
      <c r="E42" s="780"/>
      <c r="F42" s="23" t="str">
        <f>Weights!G30</f>
        <v/>
      </c>
      <c r="G42" s="781"/>
      <c r="H42" s="780"/>
      <c r="I42" s="780"/>
      <c r="J42" s="40"/>
      <c r="K42" s="57"/>
      <c r="L42" s="57"/>
      <c r="M42" s="58"/>
      <c r="N42" s="57"/>
      <c r="O42" s="69"/>
    </row>
    <row r="43" spans="1:15" ht="15" customHeight="1" x14ac:dyDescent="0.25">
      <c r="A43" s="5"/>
      <c r="B43" s="342"/>
      <c r="C43" s="358"/>
      <c r="D43" s="40"/>
      <c r="E43" s="40"/>
      <c r="F43" s="353"/>
      <c r="G43" s="353"/>
      <c r="H43" s="40"/>
      <c r="I43" s="40"/>
      <c r="J43" s="40"/>
      <c r="L43" s="57"/>
      <c r="M43" s="58"/>
      <c r="N43" s="57"/>
      <c r="O43" s="69"/>
    </row>
    <row r="44" spans="1:15" ht="15" customHeight="1" x14ac:dyDescent="0.25">
      <c r="A44" s="310"/>
      <c r="B44" s="349" t="str">
        <f>Language!B58</f>
        <v>5) Ryggstöd</v>
      </c>
      <c r="C44" s="359"/>
      <c r="D44" s="313"/>
      <c r="E44" s="313"/>
      <c r="F44" s="360"/>
      <c r="G44" s="360"/>
      <c r="H44" s="313"/>
      <c r="I44" s="313"/>
      <c r="J44" s="313"/>
      <c r="K44" s="57"/>
      <c r="L44" s="57"/>
      <c r="M44" s="58"/>
      <c r="N44" s="57"/>
      <c r="O44" s="69"/>
    </row>
    <row r="45" spans="1:15" ht="15" customHeight="1" x14ac:dyDescent="0.25">
      <c r="A45" s="84"/>
      <c r="B45" s="342"/>
      <c r="C45" s="40"/>
      <c r="D45" s="361"/>
      <c r="E45" s="40"/>
      <c r="F45" s="353"/>
      <c r="G45" s="353"/>
      <c r="H45" s="40"/>
      <c r="I45" s="40"/>
      <c r="J45" s="40"/>
      <c r="K45" s="57"/>
      <c r="L45" s="57"/>
      <c r="M45" s="58"/>
      <c r="N45" s="57"/>
      <c r="O45" s="69"/>
    </row>
    <row r="46" spans="1:15" ht="15" customHeight="1" x14ac:dyDescent="0.25">
      <c r="A46" s="78"/>
      <c r="B46" s="596" t="str">
        <f>Language!B59</f>
        <v>Standard</v>
      </c>
      <c r="C46" s="40"/>
      <c r="D46" s="44"/>
      <c r="E46" s="597" t="str">
        <f>Language!B60</f>
        <v xml:space="preserve">        Insvängd *</v>
      </c>
      <c r="F46" s="598"/>
      <c r="G46" s="396"/>
      <c r="H46" s="827" t="str">
        <f>Language!B63</f>
        <v xml:space="preserve">              Insvängd 6 cm *</v>
      </c>
      <c r="I46" s="827"/>
      <c r="J46" s="396"/>
      <c r="K46" s="57"/>
      <c r="L46" s="57"/>
      <c r="M46" s="58"/>
      <c r="N46" s="57"/>
      <c r="O46" s="69"/>
    </row>
    <row r="47" spans="1:15" ht="15" customHeight="1" x14ac:dyDescent="0.25">
      <c r="A47" s="5"/>
      <c r="B47" s="363"/>
      <c r="C47" s="40"/>
      <c r="D47" s="44"/>
      <c r="E47" s="597" t="str">
        <f>Language!B61</f>
        <v xml:space="preserve">        Bakåbockad **</v>
      </c>
      <c r="F47" s="599"/>
      <c r="G47" s="396"/>
      <c r="H47" s="827" t="str">
        <f>Language!B64</f>
        <v xml:space="preserve">                 Utsvängd 3 cm **</v>
      </c>
      <c r="I47" s="827"/>
      <c r="J47" s="396"/>
      <c r="K47" s="57"/>
      <c r="L47" s="57"/>
      <c r="M47" s="58"/>
      <c r="N47" s="57"/>
      <c r="O47" s="69"/>
    </row>
    <row r="48" spans="1:15" ht="15" customHeight="1" x14ac:dyDescent="0.25">
      <c r="A48" s="77"/>
      <c r="C48" s="562" t="str">
        <f>Language!B46</f>
        <v>art.nr.</v>
      </c>
      <c r="D48" s="44"/>
      <c r="E48" s="597" t="str">
        <f>Language!B62</f>
        <v xml:space="preserve">        För fasta ryggsystem ***</v>
      </c>
      <c r="F48" s="600"/>
      <c r="G48" s="600"/>
      <c r="H48" s="793" t="str">
        <f>Language!B65</f>
        <v xml:space="preserve">                 Bakåtbockad-insvängd***</v>
      </c>
      <c r="I48" s="793"/>
      <c r="J48" s="793"/>
      <c r="K48" s="57"/>
      <c r="L48" s="57"/>
      <c r="M48" s="58"/>
      <c r="N48" s="57"/>
      <c r="O48" s="69"/>
    </row>
    <row r="49" spans="1:15" ht="15" customHeight="1" x14ac:dyDescent="0.25">
      <c r="A49" s="36"/>
      <c r="B49" s="61" t="str">
        <f>Language!B45</f>
        <v xml:space="preserve">  Rensa</v>
      </c>
      <c r="C49" s="365" t="str">
        <f>Weights!E43</f>
        <v/>
      </c>
      <c r="D49" s="170"/>
      <c r="E49" s="363"/>
      <c r="F49" s="465" t="s">
        <v>157</v>
      </c>
      <c r="G49" s="463" t="str">
        <f>C37</f>
        <v xml:space="preserve"> </v>
      </c>
      <c r="H49" s="63"/>
      <c r="J49" s="1"/>
      <c r="K49" s="57"/>
      <c r="L49" s="37"/>
      <c r="M49" s="58"/>
      <c r="N49" s="57"/>
      <c r="O49" s="69"/>
    </row>
    <row r="50" spans="1:15" ht="15" customHeight="1" x14ac:dyDescent="0.25">
      <c r="A50" s="84"/>
      <c r="B50" s="135" t="str">
        <f>Language!B66</f>
        <v>och</v>
      </c>
      <c r="C50" s="293" t="str">
        <f>Weights!G43</f>
        <v/>
      </c>
      <c r="D50" s="291" t="str">
        <f>Language!B67</f>
        <v>klädsel</v>
      </c>
      <c r="E50" s="45"/>
      <c r="F50" s="462" t="s">
        <v>158</v>
      </c>
      <c r="G50" s="464" t="str">
        <f>C55</f>
        <v xml:space="preserve"> </v>
      </c>
      <c r="H50" s="53"/>
      <c r="I50" s="53"/>
      <c r="J50" s="53"/>
      <c r="K50" s="37"/>
      <c r="L50" s="37"/>
      <c r="M50" s="58"/>
      <c r="N50" s="57"/>
      <c r="O50" s="69"/>
    </row>
    <row r="51" spans="1:15" ht="15" customHeight="1" x14ac:dyDescent="0.25">
      <c r="A51" s="84"/>
      <c r="B51" s="148"/>
      <c r="C51" s="171"/>
      <c r="D51" s="172"/>
      <c r="E51" s="45"/>
      <c r="F51" s="279"/>
      <c r="G51" s="279"/>
      <c r="H51" s="279"/>
      <c r="I51" s="279"/>
      <c r="J51" s="279"/>
      <c r="K51" s="37"/>
      <c r="L51" s="37"/>
      <c r="M51" s="58"/>
      <c r="N51" s="57"/>
      <c r="O51" s="69"/>
    </row>
    <row r="52" spans="1:15" ht="15" customHeight="1" x14ac:dyDescent="0.25">
      <c r="A52" s="316"/>
      <c r="B52" s="349" t="str">
        <f>Language!B68</f>
        <v>6) Ryggstödshöjd HH</v>
      </c>
      <c r="C52" s="317"/>
      <c r="D52" s="318"/>
      <c r="E52" s="319"/>
      <c r="F52" s="320"/>
      <c r="G52" s="320"/>
      <c r="H52" s="320"/>
      <c r="I52" s="320"/>
      <c r="J52" s="320"/>
      <c r="K52" s="37"/>
      <c r="L52" s="37"/>
      <c r="M52" s="58"/>
      <c r="N52" s="57"/>
      <c r="O52" s="69"/>
    </row>
    <row r="53" spans="1:15" ht="15" customHeight="1" x14ac:dyDescent="0.25">
      <c r="A53" s="184"/>
      <c r="B53" s="3"/>
      <c r="C53" s="59"/>
      <c r="D53" s="60"/>
      <c r="E53" s="45"/>
      <c r="F53" s="53"/>
      <c r="H53" s="63"/>
      <c r="J53" s="1"/>
      <c r="L53" s="37"/>
      <c r="M53" s="58"/>
      <c r="N53" s="57"/>
      <c r="O53" s="69"/>
    </row>
    <row r="54" spans="1:15" ht="15" customHeight="1" x14ac:dyDescent="0.25">
      <c r="A54" s="253"/>
      <c r="B54" s="24" t="str">
        <f>Language!B45</f>
        <v xml:space="preserve">  Rensa</v>
      </c>
      <c r="C54" s="287" t="s">
        <v>11</v>
      </c>
      <c r="D54" s="288" t="s">
        <v>12</v>
      </c>
      <c r="E54" s="288" t="s">
        <v>2</v>
      </c>
      <c r="F54" s="288" t="s">
        <v>10</v>
      </c>
      <c r="G54" s="288" t="s">
        <v>9</v>
      </c>
      <c r="H54" s="603" t="s">
        <v>7</v>
      </c>
      <c r="I54" s="604"/>
      <c r="J54" s="1"/>
      <c r="K54" s="37"/>
      <c r="L54" s="37"/>
      <c r="M54" s="58"/>
      <c r="N54" s="57"/>
      <c r="O54" s="69"/>
    </row>
    <row r="55" spans="1:15" ht="15" customHeight="1" x14ac:dyDescent="0.25">
      <c r="B55" s="24"/>
      <c r="C55" s="366" t="str">
        <f>Weights!E51</f>
        <v xml:space="preserve"> </v>
      </c>
      <c r="D55" s="80"/>
      <c r="E55" s="80"/>
      <c r="F55" s="80"/>
      <c r="G55" s="80"/>
      <c r="H55" s="605"/>
      <c r="I55" s="606"/>
      <c r="J55" s="1"/>
      <c r="K55" s="37"/>
      <c r="L55" s="37"/>
      <c r="M55" s="58"/>
      <c r="N55" s="57"/>
      <c r="O55" s="69"/>
    </row>
    <row r="56" spans="1:15" ht="15" customHeight="1" x14ac:dyDescent="0.25">
      <c r="A56" s="810"/>
      <c r="B56" s="810"/>
      <c r="C56" s="810"/>
      <c r="D56" s="810"/>
      <c r="E56" s="810"/>
      <c r="F56" s="810"/>
      <c r="G56" s="810"/>
      <c r="H56" s="810"/>
      <c r="I56" s="810"/>
      <c r="J56" s="810"/>
      <c r="K56" s="37"/>
      <c r="L56" s="37"/>
      <c r="M56" s="58"/>
      <c r="N56" s="57"/>
      <c r="O56" s="69"/>
    </row>
    <row r="57" spans="1:15" ht="15" customHeight="1" x14ac:dyDescent="0.25">
      <c r="A57" s="810"/>
      <c r="B57" s="810"/>
      <c r="C57" s="810"/>
      <c r="D57" s="810"/>
      <c r="E57" s="810"/>
      <c r="F57" s="810"/>
      <c r="G57" s="810"/>
      <c r="H57" s="810"/>
      <c r="I57" s="810"/>
      <c r="J57" s="810"/>
      <c r="K57" s="37"/>
      <c r="L57" s="37"/>
      <c r="M57" s="58"/>
      <c r="N57" s="57"/>
      <c r="O57" s="69"/>
    </row>
    <row r="58" spans="1:15" ht="15" customHeight="1" x14ac:dyDescent="0.25">
      <c r="A58" s="321"/>
      <c r="B58" s="349" t="str">
        <f>Language!B70</f>
        <v>7) Bakaxel</v>
      </c>
      <c r="C58" s="367"/>
      <c r="D58" s="323"/>
      <c r="E58" s="323"/>
      <c r="F58" s="323"/>
      <c r="G58" s="323"/>
      <c r="H58" s="607"/>
      <c r="I58" s="608"/>
      <c r="J58" s="301"/>
      <c r="K58" s="37"/>
      <c r="L58" s="37"/>
      <c r="M58" s="58"/>
      <c r="N58" s="57"/>
      <c r="O58" s="69"/>
    </row>
    <row r="59" spans="1:15" ht="15" customHeight="1" x14ac:dyDescent="0.25">
      <c r="A59" s="84"/>
      <c r="B59" s="3"/>
      <c r="C59" s="59"/>
      <c r="D59" s="60"/>
      <c r="E59" s="45"/>
      <c r="F59" s="53"/>
      <c r="J59" s="1"/>
      <c r="K59" s="37"/>
      <c r="L59" s="37"/>
      <c r="M59" s="58"/>
      <c r="N59" s="57"/>
      <c r="O59" s="69"/>
    </row>
    <row r="60" spans="1:15" ht="15" customHeight="1" x14ac:dyDescent="0.25">
      <c r="A60" s="79"/>
      <c r="B60" s="61"/>
      <c r="C60" s="59"/>
      <c r="D60" s="60"/>
      <c r="E60" s="45"/>
      <c r="F60" s="53"/>
      <c r="J60" s="567" t="str">
        <f>Language!B46</f>
        <v>art.nr.</v>
      </c>
      <c r="K60" s="37"/>
      <c r="L60" s="37"/>
      <c r="M60" s="58"/>
      <c r="N60" s="57"/>
      <c r="O60" s="69"/>
    </row>
    <row r="61" spans="1:15" ht="15" customHeight="1" x14ac:dyDescent="0.25">
      <c r="B61" s="571" t="str">
        <f>Language!B71</f>
        <v>Carbon Standard</v>
      </c>
      <c r="C61" s="59"/>
      <c r="D61" s="60"/>
      <c r="E61" s="573" t="str">
        <f>Language!B72</f>
        <v xml:space="preserve">      Carbon +15 mm</v>
      </c>
      <c r="F61" s="369"/>
      <c r="G61" s="369"/>
      <c r="H61" s="828" t="str">
        <f>Language!B73</f>
        <v xml:space="preserve">           Annan bakaxel</v>
      </c>
      <c r="I61" s="828"/>
      <c r="J61" s="420"/>
      <c r="K61" s="37"/>
      <c r="L61" s="37"/>
      <c r="M61" s="58"/>
      <c r="N61" s="57"/>
      <c r="O61" s="69"/>
    </row>
    <row r="62" spans="1:15" ht="15" customHeight="1" x14ac:dyDescent="0.25">
      <c r="B62" s="15"/>
      <c r="C62" s="567" t="str">
        <f>Language!B46</f>
        <v>art.nr.</v>
      </c>
      <c r="D62" s="62"/>
      <c r="E62" s="792" t="str">
        <f>Language!B76</f>
        <v>Denna bakaxel används om man väljer till</v>
      </c>
      <c r="F62" s="792"/>
      <c r="G62" s="792"/>
      <c r="H62" s="1"/>
      <c r="I62" s="568" t="str">
        <f>Language!B74</f>
        <v>eller sitthöjd</v>
      </c>
      <c r="K62" s="37"/>
      <c r="L62" s="37"/>
      <c r="M62" s="58"/>
      <c r="N62" s="57"/>
      <c r="O62" s="69"/>
    </row>
    <row r="63" spans="1:15" ht="15" customHeight="1" x14ac:dyDescent="0.25">
      <c r="A63" s="27"/>
      <c r="B63" s="86" t="str">
        <f>Language!B45</f>
        <v xml:space="preserve">  Rensa</v>
      </c>
      <c r="C63" s="343" t="str">
        <f>Weights!E56</f>
        <v/>
      </c>
      <c r="E63" s="3" t="str">
        <f>Language!B77</f>
        <v>armstöd under Tillbehör och/eller val av ökad sitthöjd</v>
      </c>
      <c r="F63" s="3"/>
      <c r="G63" s="3"/>
      <c r="H63" s="609"/>
      <c r="I63" s="570" t="str">
        <f>Language!B75</f>
        <v>Öka sitthöjden</v>
      </c>
      <c r="J63" s="134" t="s">
        <v>207</v>
      </c>
      <c r="K63" s="37"/>
      <c r="L63" s="37"/>
      <c r="M63" s="58"/>
      <c r="N63" s="57"/>
      <c r="O63" s="69"/>
    </row>
    <row r="64" spans="1:15" ht="15" customHeight="1" x14ac:dyDescent="0.25">
      <c r="A64" s="27"/>
      <c r="B64" s="86"/>
      <c r="H64" s="8"/>
      <c r="I64" s="8"/>
      <c r="J64" s="119"/>
      <c r="K64" s="37"/>
      <c r="L64" s="37"/>
      <c r="M64" s="58"/>
      <c r="N64" s="57"/>
      <c r="O64" s="69"/>
    </row>
    <row r="65" spans="1:15" ht="15" customHeight="1" x14ac:dyDescent="0.25">
      <c r="A65" s="325"/>
      <c r="B65" s="349" t="str">
        <f>Language!B83</f>
        <v>8) Länkhjul</v>
      </c>
      <c r="C65" s="303"/>
      <c r="D65" s="303"/>
      <c r="E65" s="303"/>
      <c r="F65" s="303"/>
      <c r="G65" s="303"/>
      <c r="H65" s="326"/>
      <c r="I65" s="326"/>
      <c r="J65" s="327"/>
      <c r="K65" s="37"/>
      <c r="L65" s="37"/>
      <c r="M65" s="58"/>
      <c r="N65" s="57"/>
      <c r="O65" s="69"/>
    </row>
    <row r="66" spans="1:15" ht="15" customHeight="1" x14ac:dyDescent="0.25">
      <c r="A66" s="84"/>
      <c r="B66" s="86"/>
      <c r="K66" s="37"/>
      <c r="L66" s="37"/>
      <c r="M66" s="58"/>
      <c r="N66" s="57"/>
      <c r="O66" s="69"/>
    </row>
    <row r="67" spans="1:15" x14ac:dyDescent="0.25">
      <c r="A67" s="79"/>
      <c r="B67" s="571" t="s">
        <v>13</v>
      </c>
      <c r="C67" s="447" t="str">
        <f>Weights!K91</f>
        <v/>
      </c>
      <c r="E67" s="569" t="s">
        <v>4689</v>
      </c>
      <c r="G67" s="21"/>
      <c r="I67" s="610"/>
      <c r="K67" s="37"/>
      <c r="L67" s="37"/>
      <c r="M67" s="58"/>
      <c r="N67" s="57"/>
      <c r="O67" s="69"/>
    </row>
    <row r="68" spans="1:15" ht="15.75" x14ac:dyDescent="0.25">
      <c r="A68" s="5"/>
      <c r="B68" s="368"/>
      <c r="C68" s="567" t="str">
        <f>Language!B46</f>
        <v>art.nr.</v>
      </c>
      <c r="D68" s="60"/>
      <c r="E68" s="569" t="s">
        <v>14</v>
      </c>
      <c r="F68" s="370"/>
      <c r="I68" s="340"/>
      <c r="K68" s="37"/>
      <c r="L68" s="37"/>
      <c r="M68" s="58"/>
      <c r="N68" s="57"/>
      <c r="O68" s="69"/>
    </row>
    <row r="69" spans="1:15" ht="15.75" x14ac:dyDescent="0.25">
      <c r="A69" s="5"/>
      <c r="B69" s="89" t="str">
        <f>Language!B45</f>
        <v xml:space="preserve">  Rensa</v>
      </c>
      <c r="C69" s="343" t="str">
        <f>Weights!E62</f>
        <v/>
      </c>
      <c r="D69" s="374" t="s">
        <v>84</v>
      </c>
      <c r="F69" s="370"/>
      <c r="H69" s="611"/>
      <c r="I69" s="610"/>
      <c r="K69" s="37"/>
      <c r="L69" s="37"/>
      <c r="N69" s="57"/>
      <c r="O69" s="69"/>
    </row>
    <row r="70" spans="1:15" x14ac:dyDescent="0.25">
      <c r="B70" s="89"/>
      <c r="C70" s="24"/>
      <c r="E70" s="8"/>
      <c r="F70" s="375"/>
      <c r="H70" s="8"/>
      <c r="I70" s="8"/>
      <c r="J70" s="119"/>
      <c r="K70" s="37"/>
      <c r="L70" s="37"/>
      <c r="N70" s="57"/>
      <c r="O70" s="69"/>
    </row>
    <row r="71" spans="1:15" ht="15.75" x14ac:dyDescent="0.25">
      <c r="A71" s="321"/>
      <c r="B71" s="349" t="str">
        <f>Language!B87</f>
        <v>9) Fotstöd</v>
      </c>
      <c r="C71" s="328"/>
      <c r="D71" s="303"/>
      <c r="E71" s="326"/>
      <c r="F71" s="376"/>
      <c r="G71" s="303"/>
      <c r="H71" s="326"/>
      <c r="I71" s="326"/>
      <c r="J71" s="327"/>
      <c r="K71" s="37"/>
      <c r="L71" s="37"/>
      <c r="N71" s="57"/>
      <c r="O71" s="69"/>
    </row>
    <row r="72" spans="1:15" ht="15.75" x14ac:dyDescent="0.25">
      <c r="A72" s="27"/>
      <c r="K72" s="37"/>
      <c r="L72" s="37"/>
      <c r="N72" s="57"/>
      <c r="O72" s="69"/>
    </row>
    <row r="73" spans="1:15" x14ac:dyDescent="0.25">
      <c r="A73" s="79"/>
      <c r="B73" s="571" t="str">
        <f>Language!B88</f>
        <v>Titan</v>
      </c>
      <c r="C73" s="33"/>
      <c r="D73" s="32"/>
      <c r="E73" s="573" t="str">
        <f>Language!B90</f>
        <v xml:space="preserve">       Titan, förlängd, förstärkt *</v>
      </c>
      <c r="F73" s="369"/>
      <c r="H73" s="828" t="str">
        <f>Language!B94</f>
        <v xml:space="preserve">                   Fotplatta Carbon</v>
      </c>
      <c r="I73" s="828"/>
      <c r="L73" s="37"/>
      <c r="N73" s="57"/>
      <c r="O73" s="69"/>
    </row>
    <row r="74" spans="1:15" ht="15.75" x14ac:dyDescent="0.25">
      <c r="A74" s="5"/>
      <c r="B74" s="15"/>
      <c r="C74" s="34"/>
      <c r="D74" s="34"/>
      <c r="E74" s="54" t="str">
        <f>Language!B96</f>
        <v>* std för S3 Large</v>
      </c>
      <c r="F74" s="15"/>
      <c r="H74" s="8"/>
      <c r="I74" s="8"/>
      <c r="L74" s="37"/>
      <c r="N74" s="57"/>
      <c r="O74" s="69"/>
    </row>
    <row r="75" spans="1:15" ht="16.5" customHeight="1" x14ac:dyDescent="0.25">
      <c r="B75" s="572" t="str">
        <f>Language!B89</f>
        <v>Titan U-formad liten hälbåge</v>
      </c>
      <c r="C75" s="35"/>
      <c r="D75" s="32"/>
      <c r="E75" s="574" t="str">
        <f>Language!B91</f>
        <v xml:space="preserve">       Fällbara fotplattor</v>
      </c>
      <c r="F75" s="369"/>
      <c r="L75" s="37"/>
      <c r="N75" s="57"/>
    </row>
    <row r="76" spans="1:15" x14ac:dyDescent="0.25">
      <c r="B76" s="96" t="str">
        <f>Language!B95</f>
        <v>(bredd 33)</v>
      </c>
      <c r="C76" s="567" t="str">
        <f>Language!B46</f>
        <v>art.nr.</v>
      </c>
      <c r="E76" s="378"/>
      <c r="F76" s="10"/>
      <c r="L76" s="37"/>
    </row>
    <row r="77" spans="1:15" x14ac:dyDescent="0.25">
      <c r="B77" s="89" t="str">
        <f>Language!B45</f>
        <v xml:space="preserve">  Rensa</v>
      </c>
      <c r="C77" s="343" t="str">
        <f>Weights!E69</f>
        <v/>
      </c>
      <c r="E77" s="574" t="str">
        <f>Language!B92</f>
        <v xml:space="preserve">           Hälband för fotplattor</v>
      </c>
      <c r="F77" s="369"/>
      <c r="G77" s="85"/>
      <c r="L77" s="37"/>
    </row>
    <row r="78" spans="1:15" x14ac:dyDescent="0.25">
      <c r="E78" s="116" t="str">
        <f>Language!B46</f>
        <v>art.nr.</v>
      </c>
      <c r="F78" s="343" t="str">
        <f>Weights!E70</f>
        <v/>
      </c>
    </row>
    <row r="79" spans="1:15" ht="15.75" x14ac:dyDescent="0.25">
      <c r="A79" s="27"/>
      <c r="B79" s="18"/>
      <c r="C79" s="32"/>
      <c r="D79" s="33"/>
      <c r="E79" s="574" t="str">
        <f>Language!B93</f>
        <v xml:space="preserve">          Plastplatta för fotbåge</v>
      </c>
      <c r="F79" s="369"/>
    </row>
    <row r="80" spans="1:15" x14ac:dyDescent="0.25">
      <c r="E80" s="116" t="str">
        <f>Language!B46</f>
        <v>art.nr.</v>
      </c>
      <c r="F80" s="343" t="str">
        <f>Weights!E71</f>
        <v/>
      </c>
    </row>
    <row r="81" spans="1:12" ht="15.75" x14ac:dyDescent="0.25">
      <c r="A81" s="321"/>
      <c r="B81" s="349" t="str">
        <f>Language!B98</f>
        <v>10) Broms</v>
      </c>
      <c r="C81" s="303"/>
      <c r="D81" s="303"/>
      <c r="E81" s="330"/>
      <c r="F81" s="346"/>
      <c r="G81" s="303"/>
      <c r="H81" s="303"/>
      <c r="I81" s="298"/>
      <c r="J81" s="303"/>
    </row>
    <row r="82" spans="1:12" x14ac:dyDescent="0.25">
      <c r="A82" s="79"/>
      <c r="C82" s="23"/>
    </row>
    <row r="83" spans="1:12" x14ac:dyDescent="0.25">
      <c r="A83" s="79"/>
      <c r="B83" s="575" t="str">
        <f>Language!B99</f>
        <v>S3 Standard</v>
      </c>
      <c r="C83" s="23"/>
      <c r="D83" s="31"/>
      <c r="E83" s="573" t="str">
        <f>Language!B100</f>
        <v xml:space="preserve">         Enhandsbroms. Höger</v>
      </c>
      <c r="F83" s="369"/>
      <c r="G83" s="396"/>
      <c r="H83" s="811" t="str">
        <f>Language!B102</f>
        <v xml:space="preserve">                Vårdarbroms</v>
      </c>
      <c r="I83" s="811"/>
      <c r="J83" s="396"/>
    </row>
    <row r="84" spans="1:12" x14ac:dyDescent="0.25">
      <c r="B84" s="10"/>
      <c r="D84" s="31"/>
      <c r="E84" s="576" t="str">
        <f>Language!B101</f>
        <v xml:space="preserve">         Enhandsbroms, vänster</v>
      </c>
      <c r="F84" s="377"/>
      <c r="G84" s="396"/>
      <c r="H84" s="8"/>
      <c r="I84" s="8" t="str">
        <f>Language!B103</f>
        <v>Skriv in art.nr:</v>
      </c>
      <c r="J84" s="381"/>
    </row>
    <row r="85" spans="1:12" ht="15.75" x14ac:dyDescent="0.25">
      <c r="A85" s="27"/>
      <c r="C85" s="567" t="str">
        <f>Language!B46</f>
        <v>art.nr.</v>
      </c>
      <c r="D85" s="823"/>
      <c r="E85" s="823"/>
      <c r="F85" s="368"/>
      <c r="H85" s="5"/>
    </row>
    <row r="86" spans="1:12" ht="15.75" x14ac:dyDescent="0.25">
      <c r="A86" s="5"/>
      <c r="B86" s="382" t="str">
        <f>Language!B45</f>
        <v xml:space="preserve">  Rensa</v>
      </c>
      <c r="C86" s="343" t="str">
        <f>Weights!E78</f>
        <v/>
      </c>
      <c r="D86" s="15"/>
      <c r="E86" s="21"/>
      <c r="G86" s="21"/>
      <c r="H86" s="39"/>
      <c r="I86" s="39"/>
      <c r="J86" s="34"/>
    </row>
    <row r="87" spans="1:12" x14ac:dyDescent="0.25">
      <c r="B87" s="382"/>
      <c r="D87" s="832"/>
      <c r="E87" s="832"/>
      <c r="F87" s="383"/>
      <c r="G87" s="384"/>
      <c r="H87" s="40"/>
      <c r="I87" s="40"/>
      <c r="J87" s="34"/>
    </row>
    <row r="88" spans="1:12" ht="15.75" x14ac:dyDescent="0.25">
      <c r="A88" s="321"/>
      <c r="B88" s="349" t="str">
        <f>Language!B104</f>
        <v>11) Drivhjul - utan drivring</v>
      </c>
      <c r="C88" s="303"/>
      <c r="D88" s="385"/>
      <c r="E88" s="385"/>
      <c r="F88" s="385"/>
      <c r="G88" s="386"/>
      <c r="H88" s="313"/>
      <c r="I88" s="313"/>
      <c r="J88" s="333"/>
    </row>
    <row r="89" spans="1:12" x14ac:dyDescent="0.25">
      <c r="D89" s="15"/>
      <c r="E89" s="16"/>
      <c r="G89" s="21"/>
      <c r="H89" s="40"/>
      <c r="I89" s="40"/>
      <c r="J89" s="34"/>
    </row>
    <row r="90" spans="1:12" x14ac:dyDescent="0.25">
      <c r="A90" s="79"/>
      <c r="B90" s="575" t="str">
        <f>Language!B109</f>
        <v>24" Std</v>
      </c>
      <c r="C90" s="577" t="str">
        <f>Language!B105</f>
        <v>Däck Right Run</v>
      </c>
      <c r="D90" s="380"/>
      <c r="E90" s="574" t="str">
        <f>Language!B112</f>
        <v xml:space="preserve">       22" Std</v>
      </c>
      <c r="F90" s="112" t="str">
        <f>Language!B105</f>
        <v>Däck Right Run</v>
      </c>
      <c r="G90" s="384"/>
      <c r="H90" s="803" t="str">
        <f>Language!B121</f>
        <v xml:space="preserve">                       Enhandsdrift</v>
      </c>
      <c r="I90" s="803"/>
      <c r="J90" s="803"/>
      <c r="L90"/>
    </row>
    <row r="91" spans="1:12" x14ac:dyDescent="0.25">
      <c r="A91" s="240"/>
      <c r="B91" s="575" t="str">
        <f>Language!B110</f>
        <v>24" Std</v>
      </c>
      <c r="C91" s="577" t="str">
        <f>Language!B106</f>
        <v>Däck Marathon Plus</v>
      </c>
      <c r="D91" s="396"/>
      <c r="E91" s="112" t="str">
        <f>Language!B112</f>
        <v xml:space="preserve">       22" Std</v>
      </c>
      <c r="F91" s="112" t="str">
        <f>Language!B106</f>
        <v>Däck Marathon Plus</v>
      </c>
      <c r="G91" s="112"/>
      <c r="H91" s="8"/>
      <c r="I91" s="8" t="str">
        <f>Language!B103</f>
        <v>Skriv in art.nr:</v>
      </c>
      <c r="J91" s="109"/>
      <c r="L91"/>
    </row>
    <row r="92" spans="1:12" x14ac:dyDescent="0.25">
      <c r="B92" s="575" t="str">
        <f>Language!B111</f>
        <v>24" Std</v>
      </c>
      <c r="C92" s="577" t="str">
        <f>Language!B107</f>
        <v>Däck grovmönstrat</v>
      </c>
      <c r="D92" s="396"/>
      <c r="E92" s="112" t="str">
        <f>Language!B112</f>
        <v xml:space="preserve">       22" Std</v>
      </c>
      <c r="F92" s="112" t="str">
        <f>Language!B108</f>
        <v>Däck PU massivt</v>
      </c>
      <c r="G92" s="112"/>
      <c r="I92" s="705" t="str">
        <f>Language!B122</f>
        <v xml:space="preserve"> Drivhjul 24"x2" MTB</v>
      </c>
    </row>
    <row r="93" spans="1:12" ht="15.75" x14ac:dyDescent="0.25">
      <c r="A93" s="27"/>
      <c r="B93" s="575" t="str">
        <f>Language!B109</f>
        <v>24" Std</v>
      </c>
      <c r="C93" s="577" t="str">
        <f>Language!B108</f>
        <v>Däck PU massivt</v>
      </c>
      <c r="D93" s="396"/>
      <c r="E93" s="578" t="str">
        <f>Language!B114</f>
        <v xml:space="preserve">       25"  Spinergy X Svart</v>
      </c>
      <c r="F93" s="112"/>
      <c r="G93" s="112" t="str">
        <f>Language!B105</f>
        <v>Däck Right Run</v>
      </c>
      <c r="H93" s="612"/>
      <c r="I93" s="613" t="str">
        <f>Language!B124</f>
        <v>Titan drivringar</v>
      </c>
      <c r="J93" s="396"/>
    </row>
    <row r="94" spans="1:12" x14ac:dyDescent="0.25">
      <c r="B94" s="38"/>
      <c r="C94" s="38"/>
      <c r="D94" s="38"/>
      <c r="E94" s="112" t="str">
        <f>Language!B114</f>
        <v xml:space="preserve">       25"  Spinergy X Svart</v>
      </c>
      <c r="F94" s="112"/>
      <c r="G94" s="112" t="str">
        <f>Language!B106</f>
        <v>Däck Marathon Plus</v>
      </c>
      <c r="H94" s="34"/>
      <c r="I94" s="8"/>
    </row>
    <row r="95" spans="1:12" x14ac:dyDescent="0.25">
      <c r="B95" s="89"/>
      <c r="E95" s="112" t="str">
        <f>Language!B115</f>
        <v xml:space="preserve">       26"  Spinergy X Svart</v>
      </c>
      <c r="F95" s="112"/>
      <c r="G95" s="112" t="str">
        <f>Language!B105</f>
        <v>Däck Right Run</v>
      </c>
      <c r="H95" s="34"/>
    </row>
    <row r="96" spans="1:12" x14ac:dyDescent="0.25">
      <c r="C96" s="23"/>
      <c r="E96" s="112" t="str">
        <f>Language!B116</f>
        <v xml:space="preserve">       26"  Spinergy X Svart</v>
      </c>
      <c r="F96" s="112"/>
      <c r="G96" s="112" t="str">
        <f>Language!B106</f>
        <v>Däck Marathon Plus</v>
      </c>
      <c r="H96" s="34"/>
      <c r="L96" s="249"/>
    </row>
    <row r="97" spans="1:15" x14ac:dyDescent="0.25">
      <c r="A97" s="79"/>
      <c r="E97" s="574" t="str">
        <f>Language!B117</f>
        <v xml:space="preserve">       25"  Spinergy X Vit</v>
      </c>
      <c r="F97" s="112"/>
      <c r="G97" s="112" t="str">
        <f>Language!B105</f>
        <v>Däck Right Run</v>
      </c>
      <c r="H97" s="34"/>
    </row>
    <row r="98" spans="1:15" x14ac:dyDescent="0.25">
      <c r="B98" s="368"/>
      <c r="E98" s="112" t="str">
        <f>Language!B118</f>
        <v xml:space="preserve">       25"  Spinergy X Vit</v>
      </c>
      <c r="F98" s="112"/>
      <c r="G98" s="112" t="str">
        <f>Language!B106</f>
        <v>Däck Marathon Plus</v>
      </c>
      <c r="H98" s="34"/>
      <c r="I98" s="614"/>
    </row>
    <row r="99" spans="1:15" ht="15.75" x14ac:dyDescent="0.25">
      <c r="A99" s="27"/>
      <c r="C99" s="368"/>
      <c r="E99" s="112" t="str">
        <f>Language!B119</f>
        <v xml:space="preserve">       26"  Spinergy X Vit</v>
      </c>
      <c r="F99" s="112"/>
      <c r="G99" s="112" t="str">
        <f>Language!B105</f>
        <v>Däck Right Run</v>
      </c>
      <c r="H99" s="34"/>
    </row>
    <row r="100" spans="1:15" x14ac:dyDescent="0.25">
      <c r="C100" s="567" t="str">
        <f>Language!B46</f>
        <v>art.nr.</v>
      </c>
      <c r="D100" s="391"/>
      <c r="E100" s="112" t="str">
        <f>Language!B120</f>
        <v xml:space="preserve">       26"  Spinergy X Vit</v>
      </c>
      <c r="F100" s="112"/>
      <c r="G100" s="112" t="str">
        <f>Language!B106</f>
        <v>Däck Marathon Plus</v>
      </c>
      <c r="H100" s="34"/>
    </row>
    <row r="101" spans="1:15" x14ac:dyDescent="0.25">
      <c r="B101" s="89" t="str">
        <f>Language!B45</f>
        <v xml:space="preserve">  Rensa</v>
      </c>
      <c r="C101" s="343" t="str">
        <f>Weights!E97</f>
        <v/>
      </c>
      <c r="D101" s="392" t="s">
        <v>84</v>
      </c>
      <c r="F101" s="396"/>
    </row>
    <row r="102" spans="1:15" x14ac:dyDescent="0.25">
      <c r="B102" s="89"/>
      <c r="C102" s="345"/>
      <c r="D102" s="392"/>
      <c r="F102" s="392"/>
    </row>
    <row r="103" spans="1:15" s="64" customFormat="1" ht="15.75" x14ac:dyDescent="0.25">
      <c r="A103" s="321"/>
      <c r="B103" s="349" t="str">
        <f>Language!B126</f>
        <v>12) Drivring</v>
      </c>
      <c r="C103" s="303"/>
      <c r="D103" s="303"/>
      <c r="E103" s="303"/>
      <c r="F103" s="303"/>
      <c r="G103" s="303"/>
      <c r="H103" s="303"/>
      <c r="I103" s="298"/>
      <c r="J103" s="303"/>
      <c r="K103" s="1"/>
      <c r="L103" s="1"/>
      <c r="M103"/>
      <c r="N103"/>
    </row>
    <row r="104" spans="1:15" s="64" customFormat="1" x14ac:dyDescent="0.25">
      <c r="A104" s="14"/>
      <c r="B104"/>
      <c r="C104"/>
      <c r="D104"/>
      <c r="E104"/>
      <c r="F104"/>
      <c r="G104"/>
      <c r="H104"/>
      <c r="I104" s="2"/>
      <c r="J104"/>
      <c r="K104" s="1"/>
      <c r="L104" s="1"/>
      <c r="M104"/>
      <c r="N104"/>
    </row>
    <row r="105" spans="1:15" x14ac:dyDescent="0.25">
      <c r="A105" s="79"/>
      <c r="B105" s="571" t="str">
        <f>Language!B127</f>
        <v>Titan</v>
      </c>
      <c r="E105" s="575" t="str">
        <f>Language!B128</f>
        <v xml:space="preserve">        Paragrip</v>
      </c>
      <c r="F105" s="379"/>
      <c r="G105" s="396"/>
      <c r="I105" s="580" t="str">
        <f>Language!B130</f>
        <v xml:space="preserve">Maxgrepp </v>
      </c>
      <c r="J105" s="396"/>
      <c r="N105" s="64"/>
    </row>
    <row r="106" spans="1:15" x14ac:dyDescent="0.25">
      <c r="B106" s="15"/>
      <c r="C106" s="59"/>
      <c r="E106" s="393"/>
      <c r="F106" s="393"/>
      <c r="I106" s="105" t="str">
        <f>Language!B131</f>
        <v>(innehåller latex)</v>
      </c>
      <c r="J106" s="53"/>
      <c r="M106" s="64"/>
    </row>
    <row r="107" spans="1:15" x14ac:dyDescent="0.25">
      <c r="C107" s="15"/>
      <c r="E107" s="572" t="str">
        <f>Language!B129</f>
        <v xml:space="preserve">       Tetragrip</v>
      </c>
      <c r="F107" s="368"/>
      <c r="G107" s="396"/>
      <c r="I107" s="581" t="str">
        <f>Language!B132</f>
        <v>Aluminium</v>
      </c>
    </row>
    <row r="108" spans="1:15" x14ac:dyDescent="0.25">
      <c r="C108" s="567" t="str">
        <f>Language!B46</f>
        <v>art.nr.</v>
      </c>
      <c r="E108" s="393"/>
      <c r="F108" s="393"/>
      <c r="H108" s="615"/>
      <c r="I108" s="38"/>
      <c r="L108" s="97"/>
    </row>
    <row r="109" spans="1:15" x14ac:dyDescent="0.25">
      <c r="B109" s="89" t="str">
        <f>Language!B45</f>
        <v xml:space="preserve">  Rensa</v>
      </c>
      <c r="C109" s="343" t="str">
        <f>Weights!E110</f>
        <v/>
      </c>
      <c r="D109" t="s">
        <v>84</v>
      </c>
      <c r="K109" s="97"/>
    </row>
    <row r="110" spans="1:15" ht="12.75" customHeight="1" x14ac:dyDescent="0.25">
      <c r="F110" s="394"/>
    </row>
    <row r="111" spans="1:15" ht="15" customHeight="1" x14ac:dyDescent="0.25">
      <c r="A111" s="810" t="s">
        <v>42</v>
      </c>
      <c r="B111" s="810"/>
      <c r="C111" s="810"/>
      <c r="D111" s="810"/>
      <c r="E111" s="810"/>
      <c r="F111" s="810"/>
      <c r="G111" s="810"/>
      <c r="H111" s="810"/>
      <c r="I111" s="810"/>
      <c r="J111" s="810"/>
      <c r="K111" s="37"/>
      <c r="L111" s="37"/>
      <c r="M111" s="58"/>
      <c r="N111" s="57"/>
      <c r="O111" s="69"/>
    </row>
    <row r="112" spans="1:15" s="64" customFormat="1" x14ac:dyDescent="0.25">
      <c r="A112" s="14"/>
      <c r="B112"/>
      <c r="C112" s="23"/>
      <c r="D112"/>
      <c r="E112"/>
      <c r="F112" s="394"/>
      <c r="G112"/>
      <c r="H112"/>
      <c r="I112" s="2"/>
      <c r="J112"/>
      <c r="K112" s="1"/>
      <c r="L112" s="1"/>
      <c r="M112"/>
      <c r="N112"/>
    </row>
    <row r="113" spans="1:14" ht="15.75" x14ac:dyDescent="0.25">
      <c r="A113" s="809" t="str">
        <f>Language!B133</f>
        <v>Tillbehör</v>
      </c>
      <c r="B113" s="809"/>
      <c r="C113" s="93"/>
      <c r="D113" s="93"/>
      <c r="E113" s="93"/>
      <c r="F113" s="94"/>
      <c r="G113" s="93"/>
      <c r="H113" s="93"/>
      <c r="I113" s="205"/>
      <c r="J113" s="93"/>
      <c r="N113" s="64"/>
    </row>
    <row r="114" spans="1:14" ht="15.75" x14ac:dyDescent="0.25">
      <c r="A114" s="51"/>
      <c r="B114" s="51" t="str">
        <f>Language!B134</f>
        <v>Sidoskydd</v>
      </c>
      <c r="C114" s="64"/>
      <c r="D114" s="64"/>
      <c r="E114" s="64"/>
      <c r="F114" s="51" t="str">
        <f>Language!B135</f>
        <v>Armstöd</v>
      </c>
      <c r="G114" s="64"/>
      <c r="H114" s="64"/>
      <c r="I114" s="801" t="str">
        <f>Language!B136</f>
        <v>Sidoskydd Carbon</v>
      </c>
      <c r="J114" s="801"/>
      <c r="M114" s="64"/>
    </row>
    <row r="115" spans="1:14" x14ac:dyDescent="0.25">
      <c r="B115" s="574" t="str">
        <f>Language!B140</f>
        <v>Sidoskydd S3</v>
      </c>
      <c r="C115" s="59"/>
      <c r="F115" s="573" t="str">
        <f>Language!B142</f>
        <v>Armstöd S3</v>
      </c>
      <c r="H115" s="43"/>
      <c r="I115" s="829" t="str">
        <f>Language!B137</f>
        <v>Utan skärm</v>
      </c>
      <c r="J115" s="829"/>
    </row>
    <row r="116" spans="1:14" x14ac:dyDescent="0.25">
      <c r="B116" s="388"/>
      <c r="C116" s="582" t="str">
        <f>Language!B141</f>
        <v>Video</v>
      </c>
      <c r="F116" s="582" t="str">
        <f>Language!B141</f>
        <v>Video</v>
      </c>
      <c r="G116" s="395"/>
      <c r="H116" s="43"/>
      <c r="I116" s="830" t="str">
        <f>Language!B138</f>
        <v>Liten skärm</v>
      </c>
      <c r="J116" s="830"/>
      <c r="L116" s="97"/>
    </row>
    <row r="117" spans="1:14" x14ac:dyDescent="0.25">
      <c r="C117" s="23"/>
      <c r="F117" s="395"/>
      <c r="G117" s="20"/>
      <c r="H117" s="15"/>
      <c r="I117" s="811" t="str">
        <f>Language!B139</f>
        <v>Stor skärm</v>
      </c>
      <c r="J117" s="811"/>
      <c r="K117" s="97"/>
    </row>
    <row r="118" spans="1:14" x14ac:dyDescent="0.25">
      <c r="B118" s="396"/>
      <c r="C118" s="567" t="str">
        <f>Language!B46</f>
        <v>art.nr.</v>
      </c>
      <c r="F118" s="396"/>
      <c r="J118" s="396"/>
    </row>
    <row r="119" spans="1:14" x14ac:dyDescent="0.25">
      <c r="B119" s="89" t="str">
        <f>Language!B45</f>
        <v xml:space="preserve">  Rensa</v>
      </c>
      <c r="C119" s="343" t="str">
        <f>Weights!E117</f>
        <v/>
      </c>
    </row>
    <row r="121" spans="1:14" ht="15.75" x14ac:dyDescent="0.25">
      <c r="A121" s="51"/>
      <c r="B121" s="51" t="str">
        <f>Language!B143</f>
        <v>Körhandtag</v>
      </c>
      <c r="C121" s="64"/>
      <c r="D121" s="64"/>
      <c r="E121" s="801" t="str">
        <f>Language!B145</f>
        <v>Körhandtag Fällbara</v>
      </c>
      <c r="F121" s="801"/>
      <c r="G121" s="801"/>
      <c r="H121" s="51"/>
      <c r="I121" s="800" t="str">
        <f>Language!B146</f>
        <v>Körbåge S3</v>
      </c>
      <c r="J121" s="800"/>
    </row>
    <row r="122" spans="1:14" x14ac:dyDescent="0.25">
      <c r="A122" s="47"/>
      <c r="B122" s="572" t="str">
        <f>Language!B144</f>
        <v xml:space="preserve"> Höj / sänkbara S3</v>
      </c>
      <c r="C122" s="368"/>
      <c r="D122" s="395"/>
      <c r="E122" s="370"/>
      <c r="F122" s="573" t="str">
        <f>Language!B145</f>
        <v>Körhandtag Fällbara</v>
      </c>
      <c r="G122" s="577"/>
      <c r="H122" s="616"/>
      <c r="I122" s="829" t="str">
        <f>Language!B151</f>
        <v>Körbåge S3</v>
      </c>
      <c r="J122" s="829"/>
    </row>
    <row r="123" spans="1:14" x14ac:dyDescent="0.25">
      <c r="B123" s="583" t="str">
        <f>Language!B141</f>
        <v>Video</v>
      </c>
      <c r="C123" s="8"/>
      <c r="E123" s="369"/>
      <c r="F123" s="666" t="str">
        <f>Language!B141</f>
        <v>Video</v>
      </c>
      <c r="G123" s="31"/>
      <c r="H123" s="616"/>
      <c r="I123" s="796" t="str">
        <f>Language!B147</f>
        <v>Max. brukarvikt 100 kg</v>
      </c>
      <c r="J123" s="796"/>
    </row>
    <row r="124" spans="1:14" x14ac:dyDescent="0.25">
      <c r="B124" s="575" t="str">
        <f>Language!B149</f>
        <v>Höj / sänkbara S3+10cm</v>
      </c>
      <c r="E124" s="369"/>
      <c r="F124" s="31"/>
      <c r="G124" s="31"/>
      <c r="H124" s="38"/>
      <c r="I124" s="796"/>
      <c r="J124" s="796"/>
    </row>
    <row r="125" spans="1:14" x14ac:dyDescent="0.25">
      <c r="B125" s="54" t="str">
        <f>Language!B147</f>
        <v>Max. brukarvikt 100 kg</v>
      </c>
      <c r="E125" s="368"/>
      <c r="F125" s="31"/>
      <c r="G125" s="21"/>
    </row>
    <row r="126" spans="1:14" x14ac:dyDescent="0.25">
      <c r="B126" s="396"/>
      <c r="C126" s="567" t="str">
        <f>Language!B46</f>
        <v>art.nr.</v>
      </c>
      <c r="E126" s="516"/>
      <c r="F126" s="396"/>
      <c r="J126" s="396"/>
    </row>
    <row r="127" spans="1:14" x14ac:dyDescent="0.25">
      <c r="B127" s="89" t="str">
        <f>Language!B45</f>
        <v xml:space="preserve">  Rensa</v>
      </c>
      <c r="C127" s="365" t="str">
        <f>Weights!E123</f>
        <v/>
      </c>
      <c r="E127" s="368"/>
    </row>
    <row r="128" spans="1:14" x14ac:dyDescent="0.25">
      <c r="C128" s="23"/>
      <c r="E128" s="368"/>
    </row>
    <row r="129" spans="1:10" ht="15.75" x14ac:dyDescent="0.25">
      <c r="B129" s="51" t="str">
        <f>Language!B153</f>
        <v>Tippskydd</v>
      </c>
      <c r="E129" s="559" t="str">
        <f>Language!B155</f>
        <v>Dyna</v>
      </c>
      <c r="F129" s="831" t="str">
        <f>Language!B156</f>
        <v>Kildyna</v>
      </c>
      <c r="G129" s="831"/>
      <c r="H129" s="108"/>
      <c r="I129" s="800" t="str">
        <f>Language!B157</f>
        <v>Ekerskydd</v>
      </c>
      <c r="J129" s="800"/>
    </row>
    <row r="130" spans="1:10" ht="15.75" x14ac:dyDescent="0.25">
      <c r="A130" s="27"/>
      <c r="B130" s="571" t="str">
        <f>Language!B153</f>
        <v>Tippskydd</v>
      </c>
      <c r="E130" s="31"/>
      <c r="F130" s="576" t="s">
        <v>16</v>
      </c>
      <c r="G130" s="576" t="str">
        <f>Language!B156</f>
        <v>Kildyna</v>
      </c>
      <c r="I130" s="802" t="str">
        <f>Language!B159</f>
        <v xml:space="preserve">            Med logga</v>
      </c>
      <c r="J130" s="802"/>
    </row>
    <row r="131" spans="1:10" ht="15" customHeight="1" x14ac:dyDescent="0.25">
      <c r="A131" s="65"/>
      <c r="B131" s="584" t="str">
        <f>Language!B141</f>
        <v>Video</v>
      </c>
      <c r="C131" s="372"/>
      <c r="E131" s="21"/>
      <c r="F131" s="576" t="s">
        <v>17</v>
      </c>
      <c r="G131" s="44"/>
      <c r="H131" s="617"/>
      <c r="I131" s="803" t="str">
        <f>Language!B160</f>
        <v xml:space="preserve">            Utan logga</v>
      </c>
      <c r="J131" s="803"/>
    </row>
    <row r="132" spans="1:10" x14ac:dyDescent="0.25">
      <c r="B132" s="388"/>
      <c r="C132" s="388"/>
      <c r="D132" s="691" t="str">
        <f>Language!B210</f>
        <v>Anpassningsbar 30-33cm</v>
      </c>
      <c r="E132" s="691"/>
      <c r="F132" s="244" t="s">
        <v>16</v>
      </c>
      <c r="G132" s="21"/>
      <c r="H132" s="44"/>
      <c r="I132" s="804" t="str">
        <f>Language!B45</f>
        <v xml:space="preserve">  Rensa</v>
      </c>
      <c r="J132" s="804"/>
    </row>
    <row r="133" spans="1:10" x14ac:dyDescent="0.25">
      <c r="B133" s="8"/>
      <c r="D133" s="691" t="str">
        <f>Language!B210</f>
        <v>Anpassningsbar 30-33cm</v>
      </c>
      <c r="E133" s="691"/>
      <c r="F133" s="576" t="s">
        <v>17</v>
      </c>
      <c r="H133" s="15"/>
      <c r="I133" s="805"/>
      <c r="J133" s="805"/>
    </row>
    <row r="134" spans="1:10" x14ac:dyDescent="0.25">
      <c r="B134" s="396"/>
      <c r="C134" s="567" t="str">
        <f>Language!B46</f>
        <v>art.nr.</v>
      </c>
      <c r="D134" s="567"/>
      <c r="E134" s="567"/>
      <c r="F134" s="567" t="str">
        <f>Language!B46</f>
        <v>art.nr.</v>
      </c>
      <c r="G134" s="567" t="str">
        <f>Language!B46</f>
        <v>art.nr.</v>
      </c>
      <c r="H134" s="567"/>
      <c r="I134" s="567"/>
      <c r="J134" s="567" t="str">
        <f>Language!B46</f>
        <v>art.nr.</v>
      </c>
    </row>
    <row r="135" spans="1:10" x14ac:dyDescent="0.25">
      <c r="C135" s="365" t="str">
        <f>Weights!E125</f>
        <v/>
      </c>
      <c r="E135" s="278" t="str">
        <f>Language!B45</f>
        <v xml:space="preserve">  Rensa</v>
      </c>
      <c r="F135" s="365" t="str">
        <f>Weights!E131</f>
        <v/>
      </c>
      <c r="G135" s="365" t="str">
        <f>Weights!E133</f>
        <v/>
      </c>
      <c r="H135" s="104"/>
      <c r="I135" s="618"/>
      <c r="J135" s="365" t="str">
        <f>Weights!E137</f>
        <v/>
      </c>
    </row>
    <row r="136" spans="1:10" x14ac:dyDescent="0.25">
      <c r="F136" s="370"/>
      <c r="I136" s="8"/>
    </row>
    <row r="137" spans="1:10" ht="15.75" x14ac:dyDescent="0.25">
      <c r="B137" s="51" t="str">
        <f>Language!B161</f>
        <v>Övrigt</v>
      </c>
      <c r="F137" s="51" t="str">
        <f>Language!B165</f>
        <v>Bord</v>
      </c>
      <c r="H137" s="108" t="str">
        <f>Language!B170</f>
        <v>Ekerskydd med tema</v>
      </c>
      <c r="I137" s="108"/>
    </row>
    <row r="138" spans="1:10" x14ac:dyDescent="0.25">
      <c r="B138" s="571" t="str">
        <f>Language!B162</f>
        <v>Rörskydd fram (ramrör)</v>
      </c>
      <c r="C138" s="368"/>
      <c r="D138" s="368"/>
      <c r="F138" s="586" t="str">
        <f>Language!B166</f>
        <v xml:space="preserve">      Bord S3</v>
      </c>
      <c r="G138" s="31"/>
    </row>
    <row r="139" spans="1:10" x14ac:dyDescent="0.25">
      <c r="B139" s="248" t="s">
        <v>4678</v>
      </c>
      <c r="D139" s="396"/>
      <c r="F139" s="144">
        <v>6810020</v>
      </c>
      <c r="G139" s="396"/>
      <c r="I139" s="590" t="str">
        <f>Language!B173</f>
        <v>Splash</v>
      </c>
      <c r="J139" s="358"/>
    </row>
    <row r="140" spans="1:10" x14ac:dyDescent="0.25">
      <c r="B140" s="571" t="str">
        <f>Language!B163</f>
        <v>Rörskydd bak (ryggbåge)</v>
      </c>
      <c r="C140" s="368"/>
      <c r="D140" s="516"/>
      <c r="F140" s="48"/>
      <c r="I140" s="591" t="str">
        <f>Language!B174</f>
        <v>Car rim</v>
      </c>
    </row>
    <row r="141" spans="1:10" ht="15.75" x14ac:dyDescent="0.25">
      <c r="A141" s="27"/>
      <c r="B141" s="248" t="s">
        <v>4821</v>
      </c>
      <c r="D141" s="396"/>
      <c r="E141" s="1"/>
      <c r="F141" s="587" t="str">
        <f>Language!B169</f>
        <v xml:space="preserve">         reTyre</v>
      </c>
      <c r="G141" s="9"/>
      <c r="I141" s="591" t="str">
        <f>Language!B175</f>
        <v>Wild animals</v>
      </c>
    </row>
    <row r="142" spans="1:10" x14ac:dyDescent="0.25">
      <c r="B142" s="571" t="str">
        <f>Language!B164</f>
        <v>Kryckkäppshållare S3</v>
      </c>
      <c r="C142" s="368"/>
      <c r="D142" s="261">
        <v>2</v>
      </c>
      <c r="E142" s="15" t="str">
        <f>Language!B168</f>
        <v>st</v>
      </c>
      <c r="F142" s="365" t="str">
        <f>Weights!E103</f>
        <v/>
      </c>
      <c r="G142" s="396"/>
      <c r="H142" s="619"/>
      <c r="I142" s="591" t="str">
        <f>Language!B176</f>
        <v>Smiley</v>
      </c>
      <c r="J142" s="567" t="str">
        <f>Language!B46</f>
        <v>art.nr.</v>
      </c>
    </row>
    <row r="143" spans="1:10" x14ac:dyDescent="0.25">
      <c r="B143" s="248" t="str">
        <f>Language!B167</f>
        <v>9900301 (x1/krycka)</v>
      </c>
      <c r="C143" s="15"/>
      <c r="D143" s="396"/>
      <c r="E143" s="15"/>
      <c r="F143" s="588" t="str">
        <f>Language!B46</f>
        <v>art.nr.</v>
      </c>
      <c r="H143" s="15"/>
      <c r="I143" s="620" t="str">
        <f>Language!B45</f>
        <v xml:space="preserve">  Rensa</v>
      </c>
      <c r="J143" s="365">
        <f>Weights!E143</f>
        <v>0</v>
      </c>
    </row>
    <row r="144" spans="1:10" x14ac:dyDescent="0.25">
      <c r="B144" s="571" t="str">
        <f>Language!B154</f>
        <v>Ryggkil</v>
      </c>
      <c r="D144" s="261">
        <v>2</v>
      </c>
      <c r="E144" s="15" t="str">
        <f>Language!B168</f>
        <v>st</v>
      </c>
      <c r="F144" s="368"/>
      <c r="G144" s="21"/>
      <c r="H144" s="619"/>
    </row>
    <row r="145" spans="1:14" x14ac:dyDescent="0.25">
      <c r="B145" s="144">
        <v>4710012</v>
      </c>
      <c r="D145" s="396"/>
      <c r="F145" s="15"/>
      <c r="H145" s="15"/>
      <c r="I145" s="620"/>
    </row>
    <row r="146" spans="1:14" x14ac:dyDescent="0.25">
      <c r="B146" s="38" t="str">
        <f>Language!B171</f>
        <v>Välj art.nr. för Freewheel efter vilken fotstödshöjd rullstolen har.</v>
      </c>
      <c r="F146" s="15"/>
      <c r="H146" s="15"/>
    </row>
    <row r="147" spans="1:14" x14ac:dyDescent="0.25">
      <c r="B147" s="589" t="str">
        <f>Language!B172</f>
        <v>Läs mer om Freewheel på hemsidan</v>
      </c>
      <c r="C147" s="15"/>
      <c r="F147" s="396"/>
      <c r="H147" s="15"/>
    </row>
    <row r="148" spans="1:14" x14ac:dyDescent="0.25">
      <c r="B148" s="585" t="s">
        <v>18</v>
      </c>
      <c r="C148" s="806" t="s">
        <v>208</v>
      </c>
      <c r="D148" s="807"/>
      <c r="E148" s="808"/>
      <c r="F148" s="15"/>
      <c r="H148" s="15"/>
    </row>
    <row r="149" spans="1:14" x14ac:dyDescent="0.25">
      <c r="B149" s="15"/>
      <c r="C149" s="15"/>
      <c r="F149" s="15"/>
      <c r="H149" s="15"/>
    </row>
    <row r="150" spans="1:14" x14ac:dyDescent="0.25">
      <c r="C150" s="15"/>
    </row>
    <row r="151" spans="1:14" ht="15.75" x14ac:dyDescent="0.25">
      <c r="A151" s="809" t="str">
        <f>Language!B177</f>
        <v xml:space="preserve">  Inställningar</v>
      </c>
      <c r="B151" s="809"/>
      <c r="C151" s="93"/>
      <c r="D151" s="93"/>
      <c r="E151" s="93"/>
      <c r="F151" s="93"/>
      <c r="G151" s="93"/>
      <c r="H151" s="93"/>
      <c r="I151" s="205"/>
      <c r="J151" s="93"/>
    </row>
    <row r="153" spans="1:14" ht="15.75" x14ac:dyDescent="0.25">
      <c r="A153" s="500"/>
      <c r="B153" s="592" t="str">
        <f>Language!B178</f>
        <v>Ryggstödsvinkel</v>
      </c>
      <c r="C153" s="501"/>
      <c r="D153" s="501"/>
      <c r="E153" s="501"/>
      <c r="F153" s="593" t="str">
        <f>Language!B182</f>
        <v>Bakaxeljustering</v>
      </c>
      <c r="G153" s="502"/>
      <c r="H153" s="621"/>
    </row>
    <row r="154" spans="1:14" x14ac:dyDescent="0.25">
      <c r="B154" s="15" t="str">
        <f>Language!B179</f>
        <v>Ange måttet (A) för önskad ryggvinkel</v>
      </c>
      <c r="C154" s="15"/>
      <c r="D154" s="15"/>
      <c r="F154" s="15" t="str">
        <f>Language!B183</f>
        <v>Ange måttet (A) för önskad balansering</v>
      </c>
      <c r="H154" s="15"/>
    </row>
    <row r="155" spans="1:14" x14ac:dyDescent="0.25">
      <c r="B155" s="15" t="str">
        <f>Language!B180</f>
        <v>14-28 mm. Standard = 18 mm</v>
      </c>
      <c r="C155" s="15"/>
      <c r="D155" s="15"/>
      <c r="F155" s="824" t="str">
        <f>Weights!H152</f>
        <v/>
      </c>
      <c r="G155" s="824"/>
      <c r="H155" s="824"/>
      <c r="I155" s="824"/>
      <c r="J155" s="824"/>
      <c r="K155" s="44"/>
      <c r="L155" s="249"/>
      <c r="M155" s="31"/>
      <c r="N155" s="31"/>
    </row>
    <row r="156" spans="1:14" x14ac:dyDescent="0.25">
      <c r="B156" s="2" t="s">
        <v>20</v>
      </c>
      <c r="C156" s="70">
        <v>18</v>
      </c>
      <c r="D156" t="s">
        <v>21</v>
      </c>
      <c r="F156" s="2" t="s">
        <v>20</v>
      </c>
      <c r="G156" s="70"/>
      <c r="H156" t="s">
        <v>21</v>
      </c>
      <c r="I156" s="44"/>
      <c r="J156" s="44"/>
      <c r="K156" s="825"/>
      <c r="L156" s="825"/>
      <c r="M156" s="825"/>
      <c r="N156" s="825"/>
    </row>
    <row r="157" spans="1:14" x14ac:dyDescent="0.25">
      <c r="F157" s="44"/>
      <c r="G157" s="44"/>
      <c r="H157" s="44"/>
      <c r="I157" s="44"/>
      <c r="J157" s="44"/>
    </row>
    <row r="158" spans="1:14" x14ac:dyDescent="0.25">
      <c r="B158" s="66"/>
      <c r="F158" s="2"/>
      <c r="G158" s="124"/>
    </row>
    <row r="159" spans="1:14" ht="15.75" x14ac:dyDescent="0.25">
      <c r="B159" s="594" t="str">
        <f>Language!B184</f>
        <v>Fotstödshöjd</v>
      </c>
      <c r="D159" s="594" t="str">
        <f>Language!B181</f>
        <v xml:space="preserve"> -  Fotplattor</v>
      </c>
      <c r="F159" s="449" t="str">
        <f>Language!B186</f>
        <v>Transportmärkning</v>
      </c>
    </row>
    <row r="160" spans="1:14" x14ac:dyDescent="0.25">
      <c r="B160" s="15" t="str">
        <f>Language!B185</f>
        <v>Ange måttet (A) och / eller (B) för önskat fotstöd</v>
      </c>
      <c r="F160" s="38" t="str">
        <f>Language!B187</f>
        <v xml:space="preserve">          JA märk upp stolen med fästpunkter för transport i färdtjänstfordon.</v>
      </c>
    </row>
    <row r="161" spans="1:13" x14ac:dyDescent="0.25">
      <c r="B161" s="2" t="s">
        <v>20</v>
      </c>
      <c r="C161" s="70"/>
      <c r="D161" t="s">
        <v>21</v>
      </c>
      <c r="F161" s="796" t="str">
        <f>Language!B188</f>
        <v>OBS! Se bruksanvisningen för närmare anvisningar.</v>
      </c>
      <c r="G161" s="796"/>
      <c r="H161" s="796"/>
      <c r="I161" s="796"/>
    </row>
    <row r="162" spans="1:13" x14ac:dyDescent="0.25">
      <c r="B162" s="2" t="s">
        <v>22</v>
      </c>
      <c r="C162" s="70"/>
      <c r="D162" t="s">
        <v>21</v>
      </c>
    </row>
    <row r="167" spans="1:13" x14ac:dyDescent="0.25">
      <c r="A167" s="67" t="str">
        <f>Language!B189</f>
        <v>Extra</v>
      </c>
      <c r="B167" s="438"/>
      <c r="C167" s="439"/>
      <c r="D167" s="439"/>
      <c r="E167" s="439"/>
      <c r="F167" s="439"/>
      <c r="G167" s="439"/>
      <c r="H167" s="622"/>
      <c r="I167" s="623"/>
    </row>
    <row r="168" spans="1:13" x14ac:dyDescent="0.25">
      <c r="B168" s="441"/>
      <c r="C168" s="442"/>
      <c r="D168" s="442"/>
      <c r="E168" s="442"/>
      <c r="F168" s="442"/>
      <c r="G168" s="442"/>
      <c r="H168" s="624"/>
      <c r="I168" s="625"/>
    </row>
    <row r="169" spans="1:13" x14ac:dyDescent="0.25">
      <c r="B169" s="441"/>
      <c r="C169" s="442"/>
      <c r="D169" s="442"/>
      <c r="E169" s="442"/>
      <c r="F169" s="442"/>
      <c r="G169" s="442"/>
      <c r="H169" s="624"/>
      <c r="I169" s="625"/>
    </row>
    <row r="170" spans="1:13" x14ac:dyDescent="0.25">
      <c r="B170" s="441"/>
      <c r="C170" s="442"/>
      <c r="D170" s="442"/>
      <c r="E170" s="442"/>
      <c r="F170" s="442"/>
      <c r="G170" s="442"/>
      <c r="H170" s="624"/>
      <c r="I170" s="625"/>
      <c r="L170" s="97"/>
    </row>
    <row r="171" spans="1:13" x14ac:dyDescent="0.25">
      <c r="B171" s="441"/>
      <c r="C171" s="442"/>
      <c r="D171" s="442"/>
      <c r="E171" s="442"/>
      <c r="F171" s="442"/>
      <c r="G171" s="442"/>
      <c r="H171" s="624"/>
      <c r="I171" s="625"/>
      <c r="K171" s="63"/>
      <c r="L171" s="97"/>
    </row>
    <row r="172" spans="1:13" x14ac:dyDescent="0.25">
      <c r="B172" s="441"/>
      <c r="C172" s="442"/>
      <c r="D172" s="442"/>
      <c r="E172" s="442"/>
      <c r="F172" s="442"/>
      <c r="G172" s="442"/>
      <c r="H172" s="624"/>
      <c r="I172" s="625"/>
      <c r="K172" s="63"/>
      <c r="L172" s="97"/>
    </row>
    <row r="173" spans="1:13" x14ac:dyDescent="0.25">
      <c r="B173" s="444"/>
      <c r="C173" s="445"/>
      <c r="D173" s="445"/>
      <c r="E173" s="445"/>
      <c r="F173" s="445"/>
      <c r="G173" s="445"/>
      <c r="H173" s="626"/>
      <c r="I173" s="627"/>
      <c r="K173" s="63"/>
      <c r="L173" s="97"/>
    </row>
    <row r="174" spans="1:13" x14ac:dyDescent="0.25">
      <c r="A174" s="796" t="s">
        <v>42</v>
      </c>
      <c r="B174" s="796"/>
      <c r="C174" s="796"/>
      <c r="D174" s="796"/>
      <c r="E174" s="796"/>
      <c r="F174" s="796"/>
      <c r="G174" s="796"/>
      <c r="H174" s="796"/>
      <c r="I174" s="796"/>
      <c r="K174" s="63"/>
      <c r="L174" s="97"/>
    </row>
    <row r="175" spans="1:13" x14ac:dyDescent="0.25">
      <c r="A175" s="399"/>
      <c r="B175" s="399"/>
      <c r="C175" s="64"/>
      <c r="D175" s="64"/>
      <c r="E175" s="64"/>
      <c r="F175" s="64"/>
      <c r="G175" s="64"/>
      <c r="H175" s="628"/>
      <c r="I175" s="628"/>
      <c r="K175" s="63"/>
      <c r="L175" s="97"/>
    </row>
    <row r="176" spans="1:13" x14ac:dyDescent="0.25">
      <c r="A176" s="499"/>
      <c r="B176" s="477" t="str">
        <f>Language!B10</f>
        <v>Sammanställning</v>
      </c>
      <c r="C176" s="400"/>
      <c r="D176" s="401" t="s">
        <v>263</v>
      </c>
      <c r="E176" s="400"/>
      <c r="F176" s="401" t="s">
        <v>126</v>
      </c>
      <c r="G176" s="401"/>
      <c r="H176" s="788" t="str">
        <f>Language!B957</f>
        <v>Pris:</v>
      </c>
      <c r="I176" s="707"/>
      <c r="J176" s="9"/>
      <c r="K176" s="9"/>
      <c r="L176" s="63"/>
      <c r="M176" s="97"/>
    </row>
    <row r="177" spans="1:13" x14ac:dyDescent="0.25">
      <c r="A177"/>
      <c r="B177" s="403" t="str">
        <f>Language!B190</f>
        <v>1) Rullstolsmodell:</v>
      </c>
      <c r="C177" s="404"/>
      <c r="D177" s="403" t="str">
        <f>Weights!G3</f>
        <v/>
      </c>
      <c r="E177" s="405"/>
      <c r="F177" s="403" t="str">
        <f>C24</f>
        <v/>
      </c>
      <c r="G177" s="406"/>
      <c r="H177" s="773">
        <f>Weights!D10</f>
        <v>0</v>
      </c>
      <c r="I177" s="707"/>
      <c r="J177" s="130"/>
      <c r="K177" s="399"/>
      <c r="L177" s="63"/>
      <c r="M177" s="97"/>
    </row>
    <row r="178" spans="1:13" x14ac:dyDescent="0.25">
      <c r="A178"/>
      <c r="B178" s="403" t="str">
        <f>Language!B191</f>
        <v>2) Chassifärg:</v>
      </c>
      <c r="C178" s="406"/>
      <c r="D178" s="403" t="str">
        <f>Weights!G12</f>
        <v/>
      </c>
      <c r="E178" s="405"/>
      <c r="F178" s="403" t="str">
        <f>C31</f>
        <v/>
      </c>
      <c r="G178" s="406"/>
      <c r="H178" s="773"/>
      <c r="I178" s="707"/>
      <c r="J178" s="111"/>
      <c r="K178" s="64"/>
      <c r="L178" s="97"/>
      <c r="M178" s="97"/>
    </row>
    <row r="179" spans="1:13" x14ac:dyDescent="0.25">
      <c r="A179"/>
      <c r="B179" s="403" t="str">
        <f>Language!B192</f>
        <v>3) Sittbredd:</v>
      </c>
      <c r="C179" s="406"/>
      <c r="D179" s="470" t="str">
        <f>C37</f>
        <v xml:space="preserve"> </v>
      </c>
      <c r="E179" s="484" t="s">
        <v>165</v>
      </c>
      <c r="F179" s="403"/>
      <c r="G179" s="406"/>
      <c r="H179" s="773"/>
      <c r="I179" s="707"/>
      <c r="J179" s="111"/>
      <c r="K179" s="64"/>
      <c r="L179" s="403"/>
      <c r="M179" s="97"/>
    </row>
    <row r="180" spans="1:13" x14ac:dyDescent="0.25">
      <c r="A180"/>
      <c r="B180" s="403" t="str">
        <f>Language!B193</f>
        <v>4) Sitsdjup:</v>
      </c>
      <c r="C180" s="406"/>
      <c r="D180" s="470" t="str">
        <f>C42</f>
        <v>37.5</v>
      </c>
      <c r="E180" s="484" t="s">
        <v>165</v>
      </c>
      <c r="F180" s="403"/>
      <c r="G180" s="406"/>
      <c r="H180" s="773"/>
      <c r="I180" s="707"/>
      <c r="J180" s="111"/>
      <c r="K180" s="64"/>
      <c r="L180" s="97"/>
      <c r="M180" s="97"/>
    </row>
    <row r="181" spans="1:13" x14ac:dyDescent="0.25">
      <c r="A181"/>
      <c r="B181" s="403" t="str">
        <f>Language!B194</f>
        <v>5) Ryggstöd:</v>
      </c>
      <c r="C181" s="406"/>
      <c r="D181" s="403" t="str">
        <f>Weights!G35</f>
        <v/>
      </c>
      <c r="E181" s="450"/>
      <c r="F181" s="403" t="str">
        <f>C49</f>
        <v/>
      </c>
      <c r="G181" s="408"/>
      <c r="H181" s="773">
        <f>Weights!D43</f>
        <v>0</v>
      </c>
      <c r="I181" s="707"/>
      <c r="J181" s="111"/>
      <c r="K181" s="64"/>
      <c r="L181" s="97"/>
      <c r="M181" s="97"/>
    </row>
    <row r="182" spans="1:13" x14ac:dyDescent="0.25">
      <c r="A182"/>
      <c r="B182" s="403"/>
      <c r="C182" s="406"/>
      <c r="D182" s="408" t="str">
        <f>Language!B195</f>
        <v>ev. klädsel:</v>
      </c>
      <c r="E182" s="450"/>
      <c r="F182" s="403" t="str">
        <f>C50</f>
        <v/>
      </c>
      <c r="G182" s="408"/>
      <c r="H182" s="773"/>
      <c r="I182" s="707"/>
      <c r="J182" s="111"/>
      <c r="K182" s="64"/>
      <c r="L182" s="97"/>
      <c r="M182" s="97"/>
    </row>
    <row r="183" spans="1:13" x14ac:dyDescent="0.25">
      <c r="A183"/>
      <c r="B183" s="403" t="str">
        <f>Language!B196</f>
        <v xml:space="preserve">  6) Ryggstödshöjd:</v>
      </c>
      <c r="C183" s="406"/>
      <c r="D183" s="471" t="str">
        <f>C55</f>
        <v xml:space="preserve"> </v>
      </c>
      <c r="E183" s="484" t="s">
        <v>165</v>
      </c>
      <c r="F183" s="403"/>
      <c r="G183" s="409"/>
      <c r="H183" s="773"/>
      <c r="I183" s="707"/>
      <c r="J183" s="111"/>
      <c r="K183" s="64"/>
      <c r="L183" s="97"/>
      <c r="M183" s="97"/>
    </row>
    <row r="184" spans="1:13" x14ac:dyDescent="0.25">
      <c r="A184"/>
      <c r="B184" s="403" t="str">
        <f>Language!B197</f>
        <v>7) Bakaxel:</v>
      </c>
      <c r="C184" s="406"/>
      <c r="D184" s="403" t="str">
        <f>Weights!G52</f>
        <v/>
      </c>
      <c r="E184" s="407"/>
      <c r="F184" s="403" t="str">
        <f>C63</f>
        <v/>
      </c>
      <c r="G184" s="410"/>
      <c r="H184" s="773" t="str">
        <f>Weights!D56</f>
        <v>0</v>
      </c>
      <c r="I184" s="707"/>
      <c r="J184" s="111"/>
      <c r="K184" s="64"/>
      <c r="L184" s="97"/>
      <c r="M184" s="97"/>
    </row>
    <row r="185" spans="1:13" x14ac:dyDescent="0.25">
      <c r="A185"/>
      <c r="B185" s="403" t="str">
        <f>Language!B198</f>
        <v>8) Länkhjul:</v>
      </c>
      <c r="C185" s="406"/>
      <c r="D185" s="403" t="str">
        <f>Weights!G58</f>
        <v/>
      </c>
      <c r="E185" s="407"/>
      <c r="F185" s="403" t="str">
        <f xml:space="preserve"> C69</f>
        <v/>
      </c>
      <c r="G185" s="411" t="s">
        <v>130</v>
      </c>
      <c r="H185" s="773">
        <f>Weights!D62</f>
        <v>0</v>
      </c>
      <c r="I185" s="707"/>
      <c r="J185" s="111"/>
      <c r="K185" s="64"/>
      <c r="L185" s="97"/>
      <c r="M185" s="97"/>
    </row>
    <row r="186" spans="1:13" x14ac:dyDescent="0.25">
      <c r="A186"/>
      <c r="B186" s="403" t="str">
        <f>Language!B199</f>
        <v>9) Fotstöd;</v>
      </c>
      <c r="C186" s="412"/>
      <c r="D186" s="403" t="str">
        <f>Weights!G64</f>
        <v/>
      </c>
      <c r="E186" s="413"/>
      <c r="F186" s="403" t="str">
        <f>C77</f>
        <v/>
      </c>
      <c r="G186" s="411"/>
      <c r="H186" s="773" t="str">
        <f>Weights!D69</f>
        <v>0</v>
      </c>
      <c r="I186" s="707"/>
      <c r="J186" s="111"/>
      <c r="K186" s="64"/>
      <c r="L186" s="97"/>
      <c r="M186" s="97"/>
    </row>
    <row r="187" spans="1:13" x14ac:dyDescent="0.25">
      <c r="A187"/>
      <c r="B187" s="403" t="str">
        <f>Language!B200</f>
        <v>Hälband:</v>
      </c>
      <c r="C187" s="412"/>
      <c r="D187" s="414" t="str">
        <f>Weights!G70</f>
        <v/>
      </c>
      <c r="E187" s="413"/>
      <c r="F187" s="403" t="str">
        <f>F78</f>
        <v/>
      </c>
      <c r="G187" s="411"/>
      <c r="H187" s="773" t="str">
        <f>Weights!D70</f>
        <v>0</v>
      </c>
      <c r="I187" s="707"/>
      <c r="J187" s="111"/>
      <c r="K187" s="64"/>
      <c r="L187" s="97"/>
      <c r="M187" s="97"/>
    </row>
    <row r="188" spans="1:13" x14ac:dyDescent="0.25">
      <c r="A188"/>
      <c r="B188" s="403" t="str">
        <f>Language!B201</f>
        <v>Plastplatta:</v>
      </c>
      <c r="C188" s="412"/>
      <c r="D188" s="414" t="str">
        <f>Weights!G71</f>
        <v/>
      </c>
      <c r="E188" s="413"/>
      <c r="F188" s="403" t="str">
        <f>F80</f>
        <v/>
      </c>
      <c r="G188" s="411"/>
      <c r="H188" s="773" t="str">
        <f>Weights!D71</f>
        <v>0</v>
      </c>
      <c r="I188" s="707"/>
      <c r="J188" s="111"/>
      <c r="K188" s="156"/>
      <c r="L188" s="97"/>
      <c r="M188" s="97"/>
    </row>
    <row r="189" spans="1:13" x14ac:dyDescent="0.25">
      <c r="A189"/>
      <c r="B189" s="403" t="str">
        <f>Language!B202</f>
        <v>Broms:</v>
      </c>
      <c r="C189" s="406"/>
      <c r="D189" s="403" t="str">
        <f>Weights!G73</f>
        <v/>
      </c>
      <c r="E189" s="413"/>
      <c r="F189" s="403" t="str">
        <f>C86</f>
        <v/>
      </c>
      <c r="G189" s="411"/>
      <c r="H189" s="773">
        <f>Weights!D78</f>
        <v>0</v>
      </c>
      <c r="I189" s="707"/>
      <c r="J189" s="111"/>
      <c r="K189" s="156"/>
      <c r="L189" s="97"/>
      <c r="M189" s="97"/>
    </row>
    <row r="190" spans="1:13" x14ac:dyDescent="0.25">
      <c r="A190"/>
      <c r="B190" s="403" t="str">
        <f>Language!B203</f>
        <v>Drivhjul:</v>
      </c>
      <c r="C190" s="406"/>
      <c r="D190" s="403" t="str">
        <f>Weights!G85</f>
        <v/>
      </c>
      <c r="E190" s="413"/>
      <c r="F190" s="403" t="str">
        <f>C101</f>
        <v/>
      </c>
      <c r="G190" s="411" t="s">
        <v>130</v>
      </c>
      <c r="H190" s="773">
        <f>Weights!D97</f>
        <v>0</v>
      </c>
      <c r="I190" s="707"/>
      <c r="J190" s="111"/>
      <c r="K190" s="156"/>
      <c r="L190" s="97"/>
      <c r="M190" s="97"/>
    </row>
    <row r="191" spans="1:13" x14ac:dyDescent="0.25">
      <c r="A191"/>
      <c r="B191" s="403" t="str">
        <f>Language!B204</f>
        <v>Drivring:</v>
      </c>
      <c r="C191" s="406"/>
      <c r="D191" s="403" t="str">
        <f>Weights!G105</f>
        <v/>
      </c>
      <c r="E191" s="413"/>
      <c r="F191" s="403" t="str">
        <f>C109</f>
        <v/>
      </c>
      <c r="G191" s="411" t="s">
        <v>130</v>
      </c>
      <c r="H191" s="773">
        <f>Weights!D110</f>
        <v>0</v>
      </c>
      <c r="I191" s="707"/>
      <c r="J191" s="111"/>
      <c r="K191" s="64"/>
      <c r="L191" s="97"/>
      <c r="M191" s="97"/>
    </row>
    <row r="192" spans="1:13" x14ac:dyDescent="0.25">
      <c r="A192" s="402"/>
      <c r="B192" s="706" t="str">
        <f>Language!B205</f>
        <v>Tillbehör</v>
      </c>
      <c r="C192" s="402"/>
      <c r="D192" s="472"/>
      <c r="E192" s="473"/>
      <c r="F192" s="474"/>
      <c r="G192" s="475"/>
      <c r="H192" s="774"/>
      <c r="I192" s="708"/>
      <c r="J192" s="111"/>
      <c r="K192" s="64"/>
      <c r="L192" s="97"/>
      <c r="M192" s="97"/>
    </row>
    <row r="193" spans="1:13" x14ac:dyDescent="0.25">
      <c r="A193"/>
      <c r="B193" s="403" t="str">
        <f>Language!B206</f>
        <v>Sidoskydd:</v>
      </c>
      <c r="C193" s="406"/>
      <c r="D193" s="403" t="str">
        <f>Weights!G111</f>
        <v/>
      </c>
      <c r="E193" s="413"/>
      <c r="F193" s="403" t="str">
        <f>C119</f>
        <v/>
      </c>
      <c r="G193" s="410"/>
      <c r="H193" s="773">
        <f>Weights!D117</f>
        <v>0</v>
      </c>
      <c r="I193" s="709"/>
      <c r="J193" s="111"/>
      <c r="K193" s="64"/>
      <c r="L193" s="97"/>
      <c r="M193" s="97"/>
    </row>
    <row r="194" spans="1:13" x14ac:dyDescent="0.25">
      <c r="A194"/>
      <c r="B194" s="403" t="str">
        <f>Language!B207</f>
        <v>Körhandtag:</v>
      </c>
      <c r="C194" s="406"/>
      <c r="D194" s="403" t="str">
        <f>Weights!G119</f>
        <v/>
      </c>
      <c r="E194" s="413"/>
      <c r="F194" s="403" t="str">
        <f>C127</f>
        <v/>
      </c>
      <c r="G194" s="410"/>
      <c r="H194" s="773">
        <f>Weights!D123</f>
        <v>0</v>
      </c>
      <c r="I194" s="709"/>
      <c r="J194" s="111"/>
      <c r="K194" s="64"/>
      <c r="L194" s="97"/>
      <c r="M194" s="97"/>
    </row>
    <row r="195" spans="1:13" x14ac:dyDescent="0.25">
      <c r="A195"/>
      <c r="B195" s="403" t="str">
        <f>Language!B208</f>
        <v>Tippskydd:</v>
      </c>
      <c r="C195" s="406"/>
      <c r="D195" s="403" t="str">
        <f>Weights!G125</f>
        <v/>
      </c>
      <c r="E195" s="413"/>
      <c r="F195" s="403" t="str">
        <f>C135</f>
        <v/>
      </c>
      <c r="G195" s="410"/>
      <c r="H195" s="773" t="str">
        <f>Weights!D125</f>
        <v>0</v>
      </c>
      <c r="I195" s="709"/>
      <c r="J195" s="111"/>
      <c r="K195" s="64"/>
      <c r="L195" s="97"/>
      <c r="M195" s="97"/>
    </row>
    <row r="196" spans="1:13" x14ac:dyDescent="0.25">
      <c r="A196"/>
      <c r="B196" s="403" t="str">
        <f>Language!B209</f>
        <v>Dyna:</v>
      </c>
      <c r="C196" s="406"/>
      <c r="D196" s="403" t="str">
        <f>Weights!G128</f>
        <v/>
      </c>
      <c r="E196" s="413"/>
      <c r="F196" s="403" t="str">
        <f>Weights!E131</f>
        <v/>
      </c>
      <c r="G196" s="410"/>
      <c r="H196" s="773">
        <f>Weights!D131</f>
        <v>0</v>
      </c>
      <c r="I196" s="709"/>
      <c r="J196" s="111"/>
      <c r="K196" s="64"/>
      <c r="L196" s="97"/>
      <c r="M196" s="97"/>
    </row>
    <row r="197" spans="1:13" x14ac:dyDescent="0.25">
      <c r="A197"/>
      <c r="B197" s="403" t="str">
        <f>Language!B213</f>
        <v>Kildyna:</v>
      </c>
      <c r="C197" s="406"/>
      <c r="D197" s="403" t="str">
        <f>Weights!G133</f>
        <v/>
      </c>
      <c r="E197" s="413"/>
      <c r="F197" s="403" t="str">
        <f>'S3 models'!G135</f>
        <v/>
      </c>
      <c r="G197" s="410"/>
      <c r="H197" s="773" t="str">
        <f>Weights!D133</f>
        <v>0</v>
      </c>
      <c r="I197" s="709"/>
      <c r="J197" s="111"/>
      <c r="K197" s="64"/>
      <c r="L197" s="97"/>
      <c r="M197" s="97"/>
    </row>
    <row r="198" spans="1:13" x14ac:dyDescent="0.25">
      <c r="A198"/>
      <c r="B198" s="403" t="str">
        <f>Language!B214</f>
        <v>Ekerskydd:</v>
      </c>
      <c r="C198" s="406"/>
      <c r="D198" s="403" t="str">
        <f>Weights!G137</f>
        <v/>
      </c>
      <c r="E198" s="413"/>
      <c r="F198" s="403" t="str">
        <f>J135</f>
        <v/>
      </c>
      <c r="G198" s="410"/>
      <c r="H198" s="773">
        <f>Weights!D137</f>
        <v>0</v>
      </c>
      <c r="I198" s="709"/>
      <c r="J198" s="111"/>
      <c r="K198" s="64"/>
      <c r="L198" s="97"/>
      <c r="M198" s="97"/>
    </row>
    <row r="199" spans="1:13" x14ac:dyDescent="0.25">
      <c r="A199"/>
      <c r="B199" s="403" t="str">
        <f>Language!B215</f>
        <v>Rörskydd,Fram:</v>
      </c>
      <c r="C199" s="406"/>
      <c r="D199" s="403" t="str">
        <f>Weights!I145</f>
        <v/>
      </c>
      <c r="E199" s="413"/>
      <c r="F199" s="403" t="str">
        <f>Weights!L145</f>
        <v/>
      </c>
      <c r="G199" s="410" t="s">
        <v>84</v>
      </c>
      <c r="H199" s="773">
        <f>Weights!D145</f>
        <v>0</v>
      </c>
      <c r="I199" s="709"/>
      <c r="J199" s="111"/>
      <c r="K199" s="64"/>
      <c r="L199" s="97"/>
      <c r="M199" s="97"/>
    </row>
    <row r="200" spans="1:13" x14ac:dyDescent="0.25">
      <c r="A200"/>
      <c r="B200" s="403" t="str">
        <f>Language!B216</f>
        <v>Rörskydd, bak:</v>
      </c>
      <c r="C200" s="406"/>
      <c r="D200" s="403" t="str">
        <f>Weights!I146</f>
        <v/>
      </c>
      <c r="E200" s="413"/>
      <c r="F200" s="403" t="str">
        <f>Weights!L146</f>
        <v/>
      </c>
      <c r="G200" s="410" t="s">
        <v>4846</v>
      </c>
      <c r="H200" s="773" t="str">
        <f>Weights!D146</f>
        <v>0</v>
      </c>
      <c r="I200" s="709"/>
      <c r="J200" s="111"/>
      <c r="K200" s="64"/>
      <c r="L200" s="97"/>
      <c r="M200" s="97"/>
    </row>
    <row r="201" spans="1:13" x14ac:dyDescent="0.25">
      <c r="A201"/>
      <c r="B201" s="403" t="str">
        <f>Language!B217</f>
        <v>Kryckkhållare:</v>
      </c>
      <c r="C201" s="416"/>
      <c r="D201" s="403" t="str">
        <f>Weights!I147</f>
        <v/>
      </c>
      <c r="E201" s="417"/>
      <c r="F201" s="403" t="str">
        <f>Weights!L147</f>
        <v/>
      </c>
      <c r="G201" s="410">
        <f>D142</f>
        <v>2</v>
      </c>
      <c r="H201" s="773">
        <f>Weights!D147</f>
        <v>0</v>
      </c>
      <c r="I201" s="709"/>
      <c r="J201" s="111"/>
      <c r="K201" s="64"/>
      <c r="L201" s="97"/>
      <c r="M201" s="97"/>
    </row>
    <row r="202" spans="1:13" x14ac:dyDescent="0.25">
      <c r="A202"/>
      <c r="B202" s="403" t="str">
        <f>Language!B218</f>
        <v>Ryggkil:</v>
      </c>
      <c r="C202" s="416"/>
      <c r="D202" s="403" t="str">
        <f>Weights!I148</f>
        <v/>
      </c>
      <c r="E202" s="417"/>
      <c r="F202" s="403" t="str">
        <f>Weights!L148</f>
        <v/>
      </c>
      <c r="G202" s="410">
        <f>D144</f>
        <v>2</v>
      </c>
      <c r="H202" s="773">
        <f>Weights!D148</f>
        <v>0</v>
      </c>
      <c r="I202" s="709"/>
      <c r="J202" s="64"/>
      <c r="K202" s="64"/>
      <c r="L202" s="97"/>
      <c r="M202" s="97"/>
    </row>
    <row r="203" spans="1:13" x14ac:dyDescent="0.25">
      <c r="A203"/>
      <c r="B203" s="403" t="str">
        <f>Language!B219</f>
        <v>Freewheel</v>
      </c>
      <c r="C203" s="416"/>
      <c r="D203" s="403" t="str">
        <f>Weights!I149</f>
        <v/>
      </c>
      <c r="E203" s="482"/>
      <c r="F203" s="403" t="str">
        <f>Weights!L149</f>
        <v/>
      </c>
      <c r="G203" s="410"/>
      <c r="H203" s="773" t="str">
        <f>Weights!D149</f>
        <v>0</v>
      </c>
      <c r="I203" s="709"/>
      <c r="J203" s="64"/>
      <c r="K203" s="64"/>
      <c r="L203" s="97"/>
      <c r="M203" s="97"/>
    </row>
    <row r="204" spans="1:13" x14ac:dyDescent="0.25">
      <c r="A204"/>
      <c r="B204" s="403" t="str">
        <f>Language!B220</f>
        <v>Bord:</v>
      </c>
      <c r="C204" s="416"/>
      <c r="D204" s="403" t="str">
        <f>Weights!I150</f>
        <v/>
      </c>
      <c r="E204" s="416"/>
      <c r="F204" s="403" t="str">
        <f>Weights!L150</f>
        <v/>
      </c>
      <c r="G204" s="419"/>
      <c r="H204" s="773" t="str">
        <f>Weights!D150</f>
        <v>0</v>
      </c>
      <c r="I204" s="709"/>
      <c r="J204" s="64"/>
      <c r="K204" s="64"/>
      <c r="L204" s="97"/>
      <c r="M204" s="97"/>
    </row>
    <row r="205" spans="1:13" x14ac:dyDescent="0.25">
      <c r="A205"/>
      <c r="B205" s="403" t="str">
        <f>Language!B221</f>
        <v>reTyre:</v>
      </c>
      <c r="C205" s="416"/>
      <c r="D205" s="403" t="str">
        <f>Weights!I103</f>
        <v/>
      </c>
      <c r="E205" s="416"/>
      <c r="F205" s="403" t="str">
        <f>F142</f>
        <v/>
      </c>
      <c r="G205" s="419"/>
      <c r="H205" s="773" t="str">
        <f>Weights!D103</f>
        <v>0</v>
      </c>
      <c r="I205" s="709"/>
      <c r="J205" s="64"/>
      <c r="K205" s="64"/>
      <c r="L205" s="97"/>
      <c r="M205" s="97"/>
    </row>
    <row r="206" spans="1:13" x14ac:dyDescent="0.25">
      <c r="A206"/>
      <c r="B206" s="403" t="str">
        <f>Language!B222</f>
        <v>Ekerskydd:</v>
      </c>
      <c r="C206" s="416"/>
      <c r="D206" s="416" t="str">
        <f>Weights!G137</f>
        <v/>
      </c>
      <c r="E206" s="416"/>
      <c r="F206" s="419"/>
      <c r="G206" s="419"/>
      <c r="H206" s="773">
        <f>Weights!D143</f>
        <v>0</v>
      </c>
      <c r="I206" s="12"/>
      <c r="J206" s="124"/>
      <c r="K206" s="64"/>
      <c r="L206" s="97"/>
      <c r="M206" s="97"/>
    </row>
    <row r="207" spans="1:13" x14ac:dyDescent="0.25">
      <c r="A207"/>
      <c r="B207" s="403" t="str">
        <f>Language!B223</f>
        <v>med tema:</v>
      </c>
      <c r="C207" s="416"/>
      <c r="D207" s="403" t="str">
        <f>Weights!G139</f>
        <v/>
      </c>
      <c r="E207" s="417" cm="1">
        <f t="array" ref="E207">_xlfn.SWITCH(D207,TRUE,(Weights!B146),)</f>
        <v>0</v>
      </c>
      <c r="F207" s="403">
        <f>J143</f>
        <v>0</v>
      </c>
      <c r="G207" s="417" t="s">
        <v>34</v>
      </c>
      <c r="H207" s="773">
        <f>Weights!D143</f>
        <v>0</v>
      </c>
      <c r="I207" s="12"/>
      <c r="J207" s="124"/>
      <c r="K207" s="64"/>
      <c r="L207" s="63"/>
      <c r="M207" s="97"/>
    </row>
    <row r="208" spans="1:13" x14ac:dyDescent="0.25">
      <c r="A208"/>
      <c r="B208" s="595" t="str">
        <f>Language!B224</f>
        <v xml:space="preserve"> Inställningar</v>
      </c>
      <c r="C208" s="402"/>
      <c r="D208" s="472"/>
      <c r="E208" s="473"/>
      <c r="F208" s="474"/>
      <c r="G208" s="475"/>
      <c r="H208" s="775"/>
      <c r="I208" s="12"/>
      <c r="J208" s="124"/>
      <c r="K208" s="64"/>
      <c r="L208" s="63"/>
      <c r="M208" s="97"/>
    </row>
    <row r="209" spans="1:13" x14ac:dyDescent="0.25">
      <c r="A209"/>
      <c r="B209" s="403" t="str">
        <f>Language!B225</f>
        <v>Ryggstödsvinkel:</v>
      </c>
      <c r="C209" s="416"/>
      <c r="D209" s="403">
        <f>C156</f>
        <v>18</v>
      </c>
      <c r="E209" s="418" t="s">
        <v>21</v>
      </c>
      <c r="F209" s="403"/>
      <c r="G209" s="417" t="s">
        <v>35</v>
      </c>
      <c r="H209" s="729"/>
      <c r="I209" s="12"/>
      <c r="J209" s="124"/>
      <c r="K209" s="64"/>
      <c r="L209" s="63"/>
      <c r="M209" s="97"/>
    </row>
    <row r="210" spans="1:13" x14ac:dyDescent="0.25">
      <c r="A210"/>
      <c r="B210" s="403" t="str">
        <f>Language!B226</f>
        <v>Bakaxel:</v>
      </c>
      <c r="C210" s="416"/>
      <c r="D210" s="403">
        <f>G156</f>
        <v>0</v>
      </c>
      <c r="E210" s="418" t="s">
        <v>21</v>
      </c>
      <c r="F210" s="403"/>
      <c r="G210" s="417"/>
      <c r="H210" s="729"/>
      <c r="I210" s="629"/>
      <c r="J210" s="132" cm="1">
        <f t="array" ref="J210">_xlfn.SWITCH(D207,TRUE,(Weights!E146),)</f>
        <v>0</v>
      </c>
      <c r="K210" s="132"/>
      <c r="L210" s="97"/>
      <c r="M210" s="97"/>
    </row>
    <row r="211" spans="1:13" x14ac:dyDescent="0.25">
      <c r="A211"/>
      <c r="B211" s="403" t="str">
        <f>Language!B227</f>
        <v>Fotstöd A:</v>
      </c>
      <c r="C211" s="416"/>
      <c r="D211" s="497">
        <f>C161</f>
        <v>0</v>
      </c>
      <c r="E211" s="490" t="s">
        <v>21</v>
      </c>
      <c r="F211" s="453" t="s">
        <v>33</v>
      </c>
      <c r="G211" s="452" t="s">
        <v>36</v>
      </c>
      <c r="H211" s="729"/>
      <c r="I211" s="629"/>
      <c r="J211" s="132" cm="1">
        <f t="array" ref="J211">_xlfn.SWITCH(D209,TRUE,(Weights!E147),)</f>
        <v>0</v>
      </c>
      <c r="K211" s="132"/>
      <c r="L211" s="97"/>
      <c r="M211" s="97"/>
    </row>
    <row r="212" spans="1:13" x14ac:dyDescent="0.25">
      <c r="A212"/>
      <c r="B212" s="403" t="str">
        <f>Language!B228</f>
        <v>Fotstöd B:</v>
      </c>
      <c r="C212" s="416"/>
      <c r="D212" s="497">
        <f>C162</f>
        <v>0</v>
      </c>
      <c r="E212" s="490" t="s">
        <v>21</v>
      </c>
      <c r="F212" s="453" t="s">
        <v>39</v>
      </c>
      <c r="G212" s="452" t="s">
        <v>37</v>
      </c>
      <c r="H212" s="729"/>
      <c r="I212" s="629"/>
      <c r="J212" s="132" cm="1">
        <f t="array" ref="J212">_xlfn.SWITCH(D211,TRUE,(Weights!E148),)</f>
        <v>0</v>
      </c>
      <c r="K212" s="132"/>
      <c r="L212" s="97"/>
      <c r="M212" s="97"/>
    </row>
    <row r="213" spans="1:13" x14ac:dyDescent="0.25">
      <c r="A213"/>
      <c r="B213" s="403" t="str">
        <f>Language!B229</f>
        <v>Transportmärkning:</v>
      </c>
      <c r="C213" s="416"/>
      <c r="D213" s="498" t="str" cm="1">
        <f t="array" ref="D213">_xlfn.SWITCH(E213,TRUE,("JA"),"NEJ")</f>
        <v>NEJ</v>
      </c>
      <c r="E213" s="452" t="b">
        <v>0</v>
      </c>
      <c r="F213" s="453" t="s">
        <v>18</v>
      </c>
      <c r="G213" s="452" t="s">
        <v>38</v>
      </c>
      <c r="H213" s="729"/>
      <c r="I213" s="629"/>
      <c r="J213" s="132" cm="1">
        <f t="array" ref="J213">_xlfn.SWITCH(D211,TRUE,(Weights!E148),)</f>
        <v>0</v>
      </c>
      <c r="K213" s="132"/>
      <c r="L213" s="97"/>
      <c r="M213" s="97"/>
    </row>
    <row r="214" spans="1:13" x14ac:dyDescent="0.25">
      <c r="A214" s="68"/>
      <c r="B214" s="64"/>
      <c r="C214" s="57"/>
      <c r="D214" s="97"/>
      <c r="E214" s="155"/>
      <c r="F214" s="57"/>
      <c r="G214" s="64"/>
      <c r="H214" s="64"/>
      <c r="I214" s="64"/>
      <c r="J214" s="64"/>
      <c r="K214" s="97"/>
      <c r="L214" s="97"/>
    </row>
    <row r="215" spans="1:13" x14ac:dyDescent="0.25">
      <c r="A215" s="68"/>
      <c r="B215" s="64"/>
      <c r="C215" s="64"/>
      <c r="D215" s="64"/>
      <c r="E215" s="64"/>
      <c r="F215" s="57"/>
      <c r="G215" s="64"/>
      <c r="H215" s="64"/>
      <c r="I215" s="64"/>
      <c r="J215" s="64"/>
      <c r="K215" s="97"/>
      <c r="L215" s="97"/>
    </row>
    <row r="216" spans="1:13" x14ac:dyDescent="0.25">
      <c r="A216" s="68"/>
      <c r="B216" s="64"/>
      <c r="C216" s="64"/>
      <c r="D216" s="64"/>
      <c r="E216" s="64"/>
      <c r="F216" s="64"/>
      <c r="G216" s="64"/>
      <c r="H216" s="64"/>
      <c r="I216" s="64"/>
      <c r="J216" s="64"/>
      <c r="K216" s="97"/>
      <c r="L216" s="97"/>
    </row>
    <row r="217" spans="1:13" x14ac:dyDescent="0.25">
      <c r="A217" s="68"/>
      <c r="B217" s="64"/>
      <c r="C217" s="64"/>
      <c r="D217" s="64"/>
      <c r="E217" s="64"/>
      <c r="F217" s="64"/>
      <c r="G217" s="64"/>
      <c r="H217" s="64"/>
      <c r="I217" s="181"/>
      <c r="J217" s="64"/>
      <c r="K217" s="97"/>
      <c r="L217" s="97"/>
    </row>
    <row r="218" spans="1:13" x14ac:dyDescent="0.25">
      <c r="A218" s="68"/>
      <c r="B218" s="64"/>
      <c r="C218" s="64"/>
      <c r="D218" s="64"/>
      <c r="E218" s="64"/>
      <c r="F218" s="64"/>
      <c r="G218" s="64"/>
      <c r="H218" s="64"/>
      <c r="I218" s="181"/>
      <c r="J218" s="64"/>
      <c r="K218" s="97"/>
      <c r="L218" s="97"/>
    </row>
    <row r="219" spans="1:13" x14ac:dyDescent="0.25">
      <c r="A219" s="68"/>
      <c r="B219" s="64"/>
      <c r="C219" s="64"/>
      <c r="D219" s="64"/>
      <c r="E219" s="64"/>
      <c r="F219" s="64"/>
      <c r="G219" s="64"/>
      <c r="H219" s="64"/>
      <c r="I219" s="181"/>
      <c r="J219" s="64"/>
      <c r="K219" s="97"/>
      <c r="L219" s="97"/>
    </row>
    <row r="220" spans="1:13" x14ac:dyDescent="0.25">
      <c r="A220" s="68"/>
      <c r="B220" s="64"/>
      <c r="C220" s="64"/>
      <c r="D220" s="64"/>
      <c r="E220" s="64"/>
      <c r="F220" s="64"/>
      <c r="G220" s="64"/>
      <c r="H220" s="64"/>
      <c r="I220" s="181"/>
      <c r="J220" s="64"/>
      <c r="K220" s="97"/>
      <c r="L220" s="97"/>
    </row>
    <row r="221" spans="1:13" x14ac:dyDescent="0.25">
      <c r="A221" s="68"/>
      <c r="B221" s="64"/>
      <c r="C221" s="64"/>
      <c r="D221" s="64"/>
      <c r="E221" s="64"/>
      <c r="F221" s="64"/>
      <c r="G221" s="64"/>
      <c r="H221" s="64"/>
      <c r="I221" s="181"/>
      <c r="J221" s="64"/>
      <c r="K221" s="97"/>
      <c r="L221" s="97"/>
    </row>
    <row r="222" spans="1:13" x14ac:dyDescent="0.25">
      <c r="A222" s="68"/>
      <c r="B222" s="64"/>
      <c r="C222" s="64"/>
      <c r="D222" s="64"/>
      <c r="E222" s="64"/>
      <c r="F222" s="64"/>
      <c r="G222" s="64"/>
      <c r="H222" s="64"/>
      <c r="I222" s="181"/>
      <c r="J222" s="64"/>
      <c r="K222" s="97"/>
      <c r="L222" s="97"/>
    </row>
    <row r="223" spans="1:13" x14ac:dyDescent="0.25">
      <c r="A223"/>
      <c r="I223"/>
      <c r="K223"/>
      <c r="L223"/>
    </row>
    <row r="224" spans="1:13" x14ac:dyDescent="0.25">
      <c r="A224"/>
      <c r="I224"/>
      <c r="K224"/>
      <c r="L224"/>
    </row>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1622" spans="5:5" x14ac:dyDescent="0.25">
      <c r="E1622">
        <v>1100306</v>
      </c>
    </row>
  </sheetData>
  <sheetProtection algorithmName="SHA-512" hashValue="8XMPaHhn4c3e5MuAMwHkJSfKON7VRVnYGQxdxp0lsaXVBHKsCJyjNEGJdoEYhVpBhd9sHGavLFwF1muksLVRgw==" saltValue="QcWy81KGFE9qrniZMzb7Qg==" spinCount="100000" sheet="1" objects="1" scenarios="1"/>
  <mergeCells count="53">
    <mergeCell ref="F155:J155"/>
    <mergeCell ref="K156:N156"/>
    <mergeCell ref="L30:M30"/>
    <mergeCell ref="H46:I46"/>
    <mergeCell ref="H61:I61"/>
    <mergeCell ref="H73:I73"/>
    <mergeCell ref="H83:I83"/>
    <mergeCell ref="H47:I47"/>
    <mergeCell ref="A57:J57"/>
    <mergeCell ref="I123:J123"/>
    <mergeCell ref="A113:B113"/>
    <mergeCell ref="I115:J115"/>
    <mergeCell ref="I116:J116"/>
    <mergeCell ref="I122:J122"/>
    <mergeCell ref="F129:G129"/>
    <mergeCell ref="D87:E87"/>
    <mergeCell ref="E121:G121"/>
    <mergeCell ref="H90:J90"/>
    <mergeCell ref="B2:G2"/>
    <mergeCell ref="B5:D5"/>
    <mergeCell ref="B7:D7"/>
    <mergeCell ref="F5:G5"/>
    <mergeCell ref="F6:G6"/>
    <mergeCell ref="B6:D6"/>
    <mergeCell ref="H3:J3"/>
    <mergeCell ref="H5:J5"/>
    <mergeCell ref="H6:J6"/>
    <mergeCell ref="H7:J7"/>
    <mergeCell ref="H9:J9"/>
    <mergeCell ref="A10:J10"/>
    <mergeCell ref="A12:J12"/>
    <mergeCell ref="D85:E85"/>
    <mergeCell ref="F161:I161"/>
    <mergeCell ref="A174:I174"/>
    <mergeCell ref="E24:H24"/>
    <mergeCell ref="I124:J124"/>
    <mergeCell ref="I121:J121"/>
    <mergeCell ref="I114:J114"/>
    <mergeCell ref="I129:J129"/>
    <mergeCell ref="I130:J130"/>
    <mergeCell ref="I131:J131"/>
    <mergeCell ref="I132:J132"/>
    <mergeCell ref="I133:J133"/>
    <mergeCell ref="C148:E148"/>
    <mergeCell ref="A151:B151"/>
    <mergeCell ref="A56:J56"/>
    <mergeCell ref="A111:J111"/>
    <mergeCell ref="I117:J117"/>
    <mergeCell ref="H8:J8"/>
    <mergeCell ref="H48:J48"/>
    <mergeCell ref="E62:G62"/>
    <mergeCell ref="A11:J11"/>
    <mergeCell ref="A13:J13"/>
  </mergeCells>
  <phoneticPr fontId="21" type="noConversion"/>
  <dataValidations disablePrompts="1" xWindow="1002" yWindow="589" count="1">
    <dataValidation type="list" allowBlank="1" showInputMessage="1" showErrorMessage="1" sqref="I95" xr:uid="{559D453E-BBDB-4827-A760-6EA319158E11}">
      <formula1>$B$192:$B$198</formula1>
    </dataValidation>
  </dataValidations>
  <hyperlinks>
    <hyperlink ref="B153" r:id="rId1" display="Back rest angle" xr:uid="{C13F6EB0-C9A0-4848-9545-CB447D99A357}"/>
    <hyperlink ref="B159" r:id="rId2" display="Footrest height" xr:uid="{8A499C06-DBAF-4182-B484-8741AE7405B5}"/>
    <hyperlink ref="D159" r:id="rId3" display=" - Foot plates" xr:uid="{09F3F8F6-7EF1-4CCC-8E81-F3EB26EFED02}"/>
    <hyperlink ref="H46" r:id="rId4" display="Annat ryggstöd" xr:uid="{2DA7C65D-60D9-45F3-A437-4514F59896DA}"/>
    <hyperlink ref="B61" r:id="rId5" display="Carbon Standard" xr:uid="{5EB1535F-FE3F-4FF9-BE03-7C933E799831}"/>
    <hyperlink ref="B73" r:id="rId6" display="Titanium" xr:uid="{9BDDE786-F0E7-4148-999E-B452D18749A9}"/>
    <hyperlink ref="B75" r:id="rId7" display="Titanium U-shape small heel bar" xr:uid="{8886A7E9-E6B2-4705-89C7-AA9E6F304A1F}"/>
    <hyperlink ref="B83" r:id="rId8" display="S3 Standard" xr:uid="{E502BAFC-5DEE-4ACC-9D35-F2DA2956C236}"/>
    <hyperlink ref="H83" r:id="rId9" display="Annan broms" xr:uid="{7BB2C52B-0592-4C54-A313-32B1599A5E26}"/>
    <hyperlink ref="B90" r:id="rId10" display="24&quot; Standard" xr:uid="{06B6E4F2-6A53-4292-BC49-F91E9108ED42}"/>
    <hyperlink ref="H90" r:id="rId11" display="                      Enhandsdrift" xr:uid="{CBA37192-CCBA-400D-A81B-00BFEC92433F}"/>
    <hyperlink ref="B105" r:id="rId12" display="Titan" xr:uid="{D7190D26-F1F1-4C96-A086-C6422FEB8A13}"/>
    <hyperlink ref="B115" r:id="rId13" display="  Sidoskydd S3" xr:uid="{9EC4FBB1-A30B-48E4-8780-C231B07E821D}"/>
    <hyperlink ref="C116" r:id="rId14" display="Video" xr:uid="{A1A69FB3-8C01-43B1-8E74-D71F361B76FF}"/>
    <hyperlink ref="B122" r:id="rId15" display="Höj / sänkbara S3" xr:uid="{91CE2483-B4D7-4080-AF1C-FCD164F270BC}"/>
    <hyperlink ref="B124" r:id="rId16" display="Höj / sänkbara S3+10cm" xr:uid="{A0341788-7FEC-4FEB-9B76-DA884E4C4CFC}"/>
    <hyperlink ref="F122" r:id="rId17" display="Foldable S3" xr:uid="{28E48CD9-6C73-4315-99FD-6077B15BD4A0}"/>
    <hyperlink ref="F130" r:id="rId18" xr:uid="{72E70821-B519-4B8A-8774-F06934852282}"/>
    <hyperlink ref="G130" r:id="rId19" display="Kildyna" xr:uid="{E41B8F49-CAA1-4F1A-82F2-D732B214C477}"/>
    <hyperlink ref="E46" r:id="rId20" display="         Tapered *" xr:uid="{3AD011CF-3355-4435-ACDD-95AFBC5C53AD}"/>
    <hyperlink ref="B148" r:id="rId21" xr:uid="{3597F388-5366-42ED-A3EF-C8553E911C4F}"/>
    <hyperlink ref="B147" r:id="rId22" display="Läs mer om Freewheel på hemsidan" xr:uid="{64A7D9F0-FED1-41DE-933A-89ACD13AD7C5}"/>
    <hyperlink ref="E67" r:id="rId23" xr:uid="{11B2BD41-03D6-48C4-AE97-3318ED50E435}"/>
    <hyperlink ref="E68" r:id="rId24" xr:uid="{CC1B0B47-0546-4F0F-9016-8D95274E0036}"/>
    <hyperlink ref="E73" r:id="rId25" display="       Titan, förlängd, förstärkt *" xr:uid="{145CA236-FCF3-4D7B-92B0-793CDA70936D}"/>
    <hyperlink ref="E75" r:id="rId26" display="       Fällbara fotplattor" xr:uid="{700552FC-6863-43E2-814E-7222B7C2CBAD}"/>
    <hyperlink ref="E77" r:id="rId27" location="halband" display="           Hälband för fotplattor" xr:uid="{CF09C154-F2FD-4A3F-8321-6BB30323C865}"/>
    <hyperlink ref="E79" r:id="rId28" display="      Plastplatta till fotbåge" xr:uid="{1F24E5E7-9350-4F89-A1A2-1972542DC6A4}"/>
    <hyperlink ref="E83" r:id="rId29" display="         One arm brake, right" xr:uid="{F01B5923-D5FD-4B2F-83C6-525461FC7256}"/>
    <hyperlink ref="E90" r:id="rId30" display="       22&quot; Std" xr:uid="{51D8F1EB-1BF0-4920-9B02-85C6393A9B4F}"/>
    <hyperlink ref="E105" r:id="rId31" display="       Paragrip" xr:uid="{ADE90F77-386B-4040-9489-8862C47BA8EF}"/>
    <hyperlink ref="E107" r:id="rId32" display="     Tetragrip" xr:uid="{84279601-A756-4F21-872C-B8A80D1E1378}"/>
    <hyperlink ref="I115" r:id="rId33" display="Sidoskydd Carbon" xr:uid="{C47E51B8-6040-4A7E-B624-0F99AC5BFA9E}"/>
    <hyperlink ref="I122" r:id="rId34" display="Körbåge S3" xr:uid="{67D67E3A-0B57-44C0-BCA5-08AE86FD4958}"/>
    <hyperlink ref="H73:I73" r:id="rId35" display="                   Fotplatta Carbon" xr:uid="{7F017DCD-0FE8-43D7-AAB5-670042FE2A5C}"/>
    <hyperlink ref="C90" r:id="rId36" display="Right Run" xr:uid="{A642F5B1-5714-4BFB-9606-551C521B76D7}"/>
    <hyperlink ref="E97" r:id="rId37" display="       25&quot;  Spinergy X Vita" xr:uid="{8C0D293A-11F7-4D94-BFEE-0F5961FF02BC}"/>
    <hyperlink ref="B67" r:id="rId38" xr:uid="{EBEA33E0-2B60-43CF-AEA0-413DCB14D3DB}"/>
    <hyperlink ref="B16" r:id="rId39" display="S3" xr:uid="{1D8113CF-6EA0-40C2-B4A1-658AA3496A2B}"/>
    <hyperlink ref="E48" r:id="rId40" display="        Fixed backrest ***" xr:uid="{221B35C4-A4FA-475D-9A34-3CBE0C62DE50}"/>
    <hyperlink ref="H46:I46" r:id="rId41" display="           Tapered 6 cm *" xr:uid="{A32BA20D-C02D-420C-B800-1214F89ABD7D}"/>
    <hyperlink ref="H47" r:id="rId42" display="Annat ryggstöd" xr:uid="{5FBC7046-DE17-4F8A-8535-E440BB8A6931}"/>
    <hyperlink ref="H47:I47" r:id="rId43" display="           Utsvängd 3 cm **" xr:uid="{58840AD2-9C68-4AE7-AA9C-A39C086D3503}"/>
    <hyperlink ref="H48:I48" r:id="rId44" display="                Bakåtbocka-insvängd***" xr:uid="{8B4C8BFA-2ADE-4089-A197-3C538B72985F}"/>
    <hyperlink ref="H83:I83" r:id="rId45" display="              Assistant brake" xr:uid="{6BFB91CB-6783-493B-8552-14F39148ADC6}"/>
    <hyperlink ref="E84" r:id="rId46" display="         One arm brake, left" xr:uid="{DC953837-8DCF-40F5-BB06-57F4F8177CA6}"/>
    <hyperlink ref="F116" r:id="rId47" display="Video" xr:uid="{B7E24D25-B89F-4AA3-A056-DC67D5CDAD10}"/>
    <hyperlink ref="I115:J115" r:id="rId48" display="https://www.panthera.se/webpages/tillbehor_sidoskydd_carbon_S3.html" xr:uid="{16C32A50-8060-4CD6-B248-EBFD9F8EE561}"/>
    <hyperlink ref="I116:J116" r:id="rId49" display="https://www.panthera.se/webpages/tillbehor_sidoskydd_carbon_small.html" xr:uid="{15CFF498-B5DC-4147-B959-290A66C0C7D0}"/>
    <hyperlink ref="B123" r:id="rId50" display="4252060 VER2  Video" xr:uid="{6206672F-64ED-4195-92EF-B44C0817E712}"/>
    <hyperlink ref="B131" r:id="rId51" display="Video" xr:uid="{8DB7981D-A37C-46FD-80AE-9D851EA145FB}"/>
    <hyperlink ref="F131" r:id="rId52" xr:uid="{533E9E39-421D-4426-9B3C-6C883C6D0B42}"/>
    <hyperlink ref="I131:J131" r:id="rId53" display="            Utan logga" xr:uid="{0205B5C2-6290-40C7-9E7E-E43140198C93}"/>
    <hyperlink ref="I122:J122" r:id="rId54" display="Körbåge S3" xr:uid="{582DE217-2867-4463-803E-E9B250923039}"/>
    <hyperlink ref="B130" r:id="rId55" display="Tippskydd" xr:uid="{62C684D3-1EF5-448F-B911-B1819D9CA9A7}"/>
    <hyperlink ref="I139" r:id="rId56" display="Splash" xr:uid="{E81067AB-A8AC-4F0E-A3EF-AB01E4A78BB3}"/>
    <hyperlink ref="I140" r:id="rId57" display="Car rim" xr:uid="{992837FB-66AA-4C45-9165-0727A9FEB9E3}"/>
    <hyperlink ref="I141" r:id="rId58" display="Wild animals" xr:uid="{A51C8104-41F5-493B-B8FD-1A8485694D35}"/>
    <hyperlink ref="I142" r:id="rId59" display="Smiley" xr:uid="{2D753818-2F2F-4121-A9D2-44E349416F6D}"/>
    <hyperlink ref="E47" r:id="rId60" display="        Curved back **" xr:uid="{A977CC45-66AC-4FD8-AEFB-ED19BF39D990}"/>
    <hyperlink ref="B138:D138" r:id="rId61" display="Tube protection front(chassis tube)" xr:uid="{50AF6FAB-FF46-4645-BDE0-A54D29EB16D4}"/>
    <hyperlink ref="B140:D140" r:id="rId62" display="Tube protection rear (back rest bow)" xr:uid="{A519BC66-922F-4D4E-92EE-20205205487F}"/>
    <hyperlink ref="B142" r:id="rId63" display="Kryckkäppshållare S3" xr:uid="{7ABA9367-455F-4AB3-B39E-82F0FE3F404A}"/>
    <hyperlink ref="B144" r:id="rId64" display="Ryggkil" xr:uid="{06FC2DC9-B593-4AA6-9B27-78A92705AEA7}"/>
    <hyperlink ref="B46" r:id="rId65" display="Standard" xr:uid="{EFF157FA-7203-455E-873E-62D7E840EF26}"/>
    <hyperlink ref="F153" r:id="rId66" display="Footrest height" xr:uid="{BEA15343-788A-43FA-8E58-E252E4A388A2}"/>
    <hyperlink ref="F153:H153" r:id="rId67" display="Rear axle adjustment" xr:uid="{DC5B237F-46E4-4E5A-AB18-423D57C94FDE}"/>
    <hyperlink ref="A3" location="'S3 U3 Swing'!A1" display="start page" xr:uid="{24025DCE-E0E7-4567-8250-CF38C4022BCF}"/>
    <hyperlink ref="I1" location="'S3 models'!A194" display="Compilation" xr:uid="{DCA6D878-1CC3-4A4A-9768-FAFF9334FBF4}"/>
    <hyperlink ref="F115" r:id="rId68" display="Armstöd S3" xr:uid="{EA0FB611-C621-4B42-8612-26E8EDCCB1CF}"/>
    <hyperlink ref="F138" r:id="rId69" display="       Bord S3" xr:uid="{BF0A702C-68F6-4F25-8B7D-1ACB830C5C1E}"/>
    <hyperlink ref="F141" r:id="rId70" display="       reTyre Traction" xr:uid="{132F9954-D3E9-4359-87D6-35856F36FE91}"/>
    <hyperlink ref="B22" r:id="rId71" display="S3 Short Abd" xr:uid="{9CCAC062-7C36-4B10-AA74-4B038F2AF702}"/>
    <hyperlink ref="B21" r:id="rId72" display="S3 0°" xr:uid="{3632CAE3-8AF2-4B3C-A098-89D4B825F1CC}"/>
    <hyperlink ref="B20" r:id="rId73" display="S3 Long" xr:uid="{641F8824-942B-4C89-86E0-F54590114D4C}"/>
    <hyperlink ref="B19" r:id="rId74" display="S3 Large" xr:uid="{BF8AFE46-52E2-4C9D-BEE1-8477D0A86D7D}"/>
    <hyperlink ref="B18" r:id="rId75" display="S3 Short Low" xr:uid="{3554362E-2EA8-4573-92EC-EF3EB0AA096A}"/>
    <hyperlink ref="B17" r:id="rId76" display="S3 Short" xr:uid="{A452E04C-2EDA-4C1E-AADD-0795D3F07420}"/>
    <hyperlink ref="E28" r:id="rId77" display="https://www.panthera.se/webpages/chassi_colour_all.html" xr:uid="{E6A72F8C-87A0-4731-BE8E-2BBDE7CA8119}"/>
    <hyperlink ref="B28:C28" r:id="rId78" display="https://www.panthera.se/images/layout/colour_anodic_black_1250.jpg" xr:uid="{58BDFC6B-3E5B-475F-B6E8-B38FE2C425A0}"/>
    <hyperlink ref="B29:C29" r:id="rId79" display="https://www.panthera.se/images/layout/colour_grey_metallic_1250.jpg" xr:uid="{3D49FF74-49C0-46B8-9CAF-32098C4545B4}"/>
    <hyperlink ref="I62" r:id="rId80" display="https://www.panthera.se/panthera/documentation/orderguide/notiser/seatheight.pdf" xr:uid="{26060AE9-96D3-42D6-908E-B4583751200F}"/>
    <hyperlink ref="I63" r:id="rId81" display="https://www.panthera.se/webpages/delar_bakaxel_forhojningssats.html" xr:uid="{E44C5FFB-E80C-4662-A4B5-E3B511F9329B}"/>
    <hyperlink ref="B91:B93" r:id="rId82" display="24&quot; Standard" xr:uid="{1751D8C8-8EF4-4AF3-B0B3-2E1BF22F262C}"/>
    <hyperlink ref="C91:C93" r:id="rId83" display="Right Run" xr:uid="{51C837FB-859B-4568-8358-BD8736B799B4}"/>
    <hyperlink ref="E61" r:id="rId84" display="https://www.panthera.se/webpages/delar_bakaxel_carbon.html" xr:uid="{94977C36-554D-4F52-94FC-4479E2C02BCB}"/>
    <hyperlink ref="H61:I61" r:id="rId85" display="https://www.panthera.se/webpages/delar_bakaxel.html" xr:uid="{DFF51ACF-8164-4A6F-9B45-162ED77D9A54}"/>
    <hyperlink ref="C91" r:id="rId86" display="https://www.panthera.se/images/parts/dack_marathon_plus_1250.jpg" xr:uid="{82AF42B0-BCA4-43CA-967F-07BE8D0C2F80}"/>
    <hyperlink ref="C92" r:id="rId87" display="https://www.panthera.se/images/parts/dack_grov_1250.jpg" xr:uid="{03311F2B-9573-4FF4-8757-672B4DD53FD0}"/>
    <hyperlink ref="C93" r:id="rId88" display="https://www.panthera.se/images/parts/dack_PU_black_1250.jpg" xr:uid="{0F22DB2F-CA31-4A52-B5AF-45C9EB73C46A}"/>
    <hyperlink ref="I92" r:id="rId89" display="https://www.panthera.se/webpages/delar_drivhjul_mountain.html" xr:uid="{606C59EA-4B2E-4BE2-A21D-57823FD4929A}"/>
    <hyperlink ref="I117:J117" r:id="rId90" display="https://www.panthera.se/webpages/tillbehor_sidoskydd_carbon_large.html" xr:uid="{F631A36F-67F9-40A4-80DD-83C75D0B4A96}"/>
    <hyperlink ref="F123" r:id="rId91" display="https://player.vimeo.com/video/163530867?title=0&amp;byline=0&amp;portrait=0" xr:uid="{B597DEE6-3646-4627-93BD-3D990A965CC3}"/>
    <hyperlink ref="I130:J130" r:id="rId92" display="https://www.panthera.se/webpages/tillbehor_ekerskydd_tryck.html" xr:uid="{6A7946AA-23CD-4A47-98AC-851DA8B0A7AD}"/>
    <hyperlink ref="B3" location="'S3 models'!A4" display="up" xr:uid="{60CCD369-F182-4F91-92B3-860FA4D5632B}"/>
    <hyperlink ref="D132" r:id="rId93" display="https://www.panthera.se/webpages/tillbehor_dyna_anpassningsbar.html" xr:uid="{4116D459-6D45-4D1C-86D1-D2997CC29196}"/>
    <hyperlink ref="D133" r:id="rId94" display="https://www.panthera.se/webpages/tillbehor_dyna_anpassningsbar.html" xr:uid="{BCC9C531-B67A-48E4-AFEC-3E9130F64269}"/>
  </hyperlinks>
  <pageMargins left="0" right="0" top="0" bottom="0" header="0.31496062992125984" footer="0"/>
  <pageSetup paperSize="9" orientation="portrait" horizontalDpi="4294967295" verticalDpi="4294967295" r:id="rId95"/>
  <ignoredErrors>
    <ignoredError sqref="C37 C63 C24 C31 C69 F78 F80 C86 C109 C119 C127 C135 F135:G135 J135 C55 C101 J143 J92 C77 D193:D195 D209 F193:F195 G201 F42 D184:D186 D211:D213 D207:F207 F187 F189:F191 D189:D191 F198:F205 D197:D205" unlockedFormula="1"/>
  </ignoredErrors>
  <drawing r:id="rId96"/>
  <legacyDrawing r:id="rId97"/>
  <mc:AlternateContent xmlns:mc="http://schemas.openxmlformats.org/markup-compatibility/2006">
    <mc:Choice Requires="x14">
      <controls>
        <mc:AlternateContent xmlns:mc="http://schemas.openxmlformats.org/markup-compatibility/2006">
          <mc:Choice Requires="x14">
            <control shapeId="1874" r:id="rId98" name="Option Button 850">
              <controlPr defaultSize="0" autoFill="0" autoLine="0" autoPict="0">
                <anchor moveWithCells="1">
                  <from>
                    <xdr:col>7</xdr:col>
                    <xdr:colOff>200025</xdr:colOff>
                    <xdr:row>46</xdr:row>
                    <xdr:rowOff>171450</xdr:rowOff>
                  </from>
                  <to>
                    <xdr:col>7</xdr:col>
                    <xdr:colOff>447675</xdr:colOff>
                    <xdr:row>48</xdr:row>
                    <xdr:rowOff>9525</xdr:rowOff>
                  </to>
                </anchor>
              </controlPr>
            </control>
          </mc:Choice>
        </mc:AlternateContent>
        <mc:AlternateContent xmlns:mc="http://schemas.openxmlformats.org/markup-compatibility/2006">
          <mc:Choice Requires="x14">
            <control shapeId="1118" r:id="rId99" name="Option Button 94">
              <controlPr defaultSize="0" autoFill="0" autoLine="0" autoPict="0">
                <anchor moveWithCells="1">
                  <from>
                    <xdr:col>1</xdr:col>
                    <xdr:colOff>342900</xdr:colOff>
                    <xdr:row>34</xdr:row>
                    <xdr:rowOff>9525</xdr:rowOff>
                  </from>
                  <to>
                    <xdr:col>2</xdr:col>
                    <xdr:colOff>85725</xdr:colOff>
                    <xdr:row>35</xdr:row>
                    <xdr:rowOff>38100</xdr:rowOff>
                  </to>
                </anchor>
              </controlPr>
            </control>
          </mc:Choice>
        </mc:AlternateContent>
        <mc:AlternateContent xmlns:mc="http://schemas.openxmlformats.org/markup-compatibility/2006">
          <mc:Choice Requires="x14">
            <control shapeId="1119" r:id="rId100" name="Option Button 95">
              <controlPr defaultSize="0" autoFill="0" autoLine="0" autoPict="0">
                <anchor moveWithCells="1">
                  <from>
                    <xdr:col>2</xdr:col>
                    <xdr:colOff>542925</xdr:colOff>
                    <xdr:row>34</xdr:row>
                    <xdr:rowOff>0</xdr:rowOff>
                  </from>
                  <to>
                    <xdr:col>3</xdr:col>
                    <xdr:colOff>123825</xdr:colOff>
                    <xdr:row>35</xdr:row>
                    <xdr:rowOff>28575</xdr:rowOff>
                  </to>
                </anchor>
              </controlPr>
            </control>
          </mc:Choice>
        </mc:AlternateContent>
        <mc:AlternateContent xmlns:mc="http://schemas.openxmlformats.org/markup-compatibility/2006">
          <mc:Choice Requires="x14">
            <control shapeId="1120" r:id="rId101" name="Option Button 96">
              <controlPr defaultSize="0" autoFill="0" autoLine="0" autoPict="0">
                <anchor moveWithCells="1">
                  <from>
                    <xdr:col>3</xdr:col>
                    <xdr:colOff>552450</xdr:colOff>
                    <xdr:row>33</xdr:row>
                    <xdr:rowOff>180975</xdr:rowOff>
                  </from>
                  <to>
                    <xdr:col>4</xdr:col>
                    <xdr:colOff>95250</xdr:colOff>
                    <xdr:row>35</xdr:row>
                    <xdr:rowOff>9525</xdr:rowOff>
                  </to>
                </anchor>
              </controlPr>
            </control>
          </mc:Choice>
        </mc:AlternateContent>
        <mc:AlternateContent xmlns:mc="http://schemas.openxmlformats.org/markup-compatibility/2006">
          <mc:Choice Requires="x14">
            <control shapeId="1121" r:id="rId102" name="Option Button 97">
              <controlPr defaultSize="0" autoFill="0" autoLine="0" autoPict="0">
                <anchor moveWithCells="1">
                  <from>
                    <xdr:col>4</xdr:col>
                    <xdr:colOff>542925</xdr:colOff>
                    <xdr:row>34</xdr:row>
                    <xdr:rowOff>0</xdr:rowOff>
                  </from>
                  <to>
                    <xdr:col>5</xdr:col>
                    <xdr:colOff>95250</xdr:colOff>
                    <xdr:row>35</xdr:row>
                    <xdr:rowOff>19050</xdr:rowOff>
                  </to>
                </anchor>
              </controlPr>
            </control>
          </mc:Choice>
        </mc:AlternateContent>
        <mc:AlternateContent xmlns:mc="http://schemas.openxmlformats.org/markup-compatibility/2006">
          <mc:Choice Requires="x14">
            <control shapeId="1123" r:id="rId103" name="Option Button 99">
              <controlPr defaultSize="0" autoFill="0" autoLine="0" autoPict="0">
                <anchor moveWithCells="1">
                  <from>
                    <xdr:col>6</xdr:col>
                    <xdr:colOff>561975</xdr:colOff>
                    <xdr:row>34</xdr:row>
                    <xdr:rowOff>0</xdr:rowOff>
                  </from>
                  <to>
                    <xdr:col>7</xdr:col>
                    <xdr:colOff>123825</xdr:colOff>
                    <xdr:row>35</xdr:row>
                    <xdr:rowOff>28575</xdr:rowOff>
                  </to>
                </anchor>
              </controlPr>
            </control>
          </mc:Choice>
        </mc:AlternateContent>
        <mc:AlternateContent xmlns:mc="http://schemas.openxmlformats.org/markup-compatibility/2006">
          <mc:Choice Requires="x14">
            <control shapeId="1216" r:id="rId104" name="Option Button 192">
              <controlPr defaultSize="0" autoFill="0" autoLine="0" autoPict="0">
                <anchor moveWithCells="1">
                  <from>
                    <xdr:col>3</xdr:col>
                    <xdr:colOff>609600</xdr:colOff>
                    <xdr:row>44</xdr:row>
                    <xdr:rowOff>161925</xdr:rowOff>
                  </from>
                  <to>
                    <xdr:col>4</xdr:col>
                    <xdr:colOff>200025</xdr:colOff>
                    <xdr:row>46</xdr:row>
                    <xdr:rowOff>9525</xdr:rowOff>
                  </to>
                </anchor>
              </controlPr>
            </control>
          </mc:Choice>
        </mc:AlternateContent>
        <mc:AlternateContent xmlns:mc="http://schemas.openxmlformats.org/markup-compatibility/2006">
          <mc:Choice Requires="x14">
            <control shapeId="1217" r:id="rId105" name="Option Button 193">
              <controlPr defaultSize="0" autoFill="0" autoLine="0" autoPict="0">
                <anchor moveWithCells="1">
                  <from>
                    <xdr:col>3</xdr:col>
                    <xdr:colOff>609600</xdr:colOff>
                    <xdr:row>45</xdr:row>
                    <xdr:rowOff>171450</xdr:rowOff>
                  </from>
                  <to>
                    <xdr:col>4</xdr:col>
                    <xdr:colOff>200025</xdr:colOff>
                    <xdr:row>47</xdr:row>
                    <xdr:rowOff>9525</xdr:rowOff>
                  </to>
                </anchor>
              </controlPr>
            </control>
          </mc:Choice>
        </mc:AlternateContent>
        <mc:AlternateContent xmlns:mc="http://schemas.openxmlformats.org/markup-compatibility/2006">
          <mc:Choice Requires="x14">
            <control shapeId="1273" r:id="rId106" name="Option Button 249">
              <controlPr defaultSize="0" autoFill="0" autoLine="0" autoPict="0" altText="">
                <anchor moveWithCells="1">
                  <from>
                    <xdr:col>0</xdr:col>
                    <xdr:colOff>628650</xdr:colOff>
                    <xdr:row>47</xdr:row>
                    <xdr:rowOff>171450</xdr:rowOff>
                  </from>
                  <to>
                    <xdr:col>1</xdr:col>
                    <xdr:colOff>38100</xdr:colOff>
                    <xdr:row>49</xdr:row>
                    <xdr:rowOff>9525</xdr:rowOff>
                  </to>
                </anchor>
              </controlPr>
            </control>
          </mc:Choice>
        </mc:AlternateContent>
        <mc:AlternateContent xmlns:mc="http://schemas.openxmlformats.org/markup-compatibility/2006">
          <mc:Choice Requires="x14">
            <control shapeId="1442" r:id="rId107" name="Option Button 418">
              <controlPr defaultSize="0" autoFill="0" autoLine="0" autoPict="0">
                <anchor moveWithCells="1">
                  <from>
                    <xdr:col>0</xdr:col>
                    <xdr:colOff>590550</xdr:colOff>
                    <xdr:row>27</xdr:row>
                    <xdr:rowOff>9525</xdr:rowOff>
                  </from>
                  <to>
                    <xdr:col>1</xdr:col>
                    <xdr:colOff>9525</xdr:colOff>
                    <xdr:row>28</xdr:row>
                    <xdr:rowOff>19050</xdr:rowOff>
                  </to>
                </anchor>
              </controlPr>
            </control>
          </mc:Choice>
        </mc:AlternateContent>
        <mc:AlternateContent xmlns:mc="http://schemas.openxmlformats.org/markup-compatibility/2006">
          <mc:Choice Requires="x14">
            <control shapeId="1443" r:id="rId108" name="Option Button 419">
              <controlPr defaultSize="0" autoFill="0" autoLine="0" autoPict="0">
                <anchor moveWithCells="1">
                  <from>
                    <xdr:col>0</xdr:col>
                    <xdr:colOff>590550</xdr:colOff>
                    <xdr:row>28</xdr:row>
                    <xdr:rowOff>9525</xdr:rowOff>
                  </from>
                  <to>
                    <xdr:col>1</xdr:col>
                    <xdr:colOff>9525</xdr:colOff>
                    <xdr:row>29</xdr:row>
                    <xdr:rowOff>38100</xdr:rowOff>
                  </to>
                </anchor>
              </controlPr>
            </control>
          </mc:Choice>
        </mc:AlternateContent>
        <mc:AlternateContent xmlns:mc="http://schemas.openxmlformats.org/markup-compatibility/2006">
          <mc:Choice Requires="x14">
            <control shapeId="1444" r:id="rId109" name="Option Button 420">
              <controlPr defaultSize="0" autoFill="0" autoLine="0" autoPict="0">
                <anchor moveWithCells="1">
                  <from>
                    <xdr:col>0</xdr:col>
                    <xdr:colOff>590550</xdr:colOff>
                    <xdr:row>29</xdr:row>
                    <xdr:rowOff>180975</xdr:rowOff>
                  </from>
                  <to>
                    <xdr:col>1</xdr:col>
                    <xdr:colOff>9525</xdr:colOff>
                    <xdr:row>31</xdr:row>
                    <xdr:rowOff>19050</xdr:rowOff>
                  </to>
                </anchor>
              </controlPr>
            </control>
          </mc:Choice>
        </mc:AlternateContent>
        <mc:AlternateContent xmlns:mc="http://schemas.openxmlformats.org/markup-compatibility/2006">
          <mc:Choice Requires="x14">
            <control shapeId="1445" r:id="rId110" name="Option Button 421">
              <controlPr defaultSize="0" autoFill="0" autoLine="0" autoPict="0">
                <anchor moveWithCells="1">
                  <from>
                    <xdr:col>3</xdr:col>
                    <xdr:colOff>609600</xdr:colOff>
                    <xdr:row>27</xdr:row>
                    <xdr:rowOff>0</xdr:rowOff>
                  </from>
                  <to>
                    <xdr:col>4</xdr:col>
                    <xdr:colOff>190500</xdr:colOff>
                    <xdr:row>28</xdr:row>
                    <xdr:rowOff>28575</xdr:rowOff>
                  </to>
                </anchor>
              </controlPr>
            </control>
          </mc:Choice>
        </mc:AlternateContent>
        <mc:AlternateContent xmlns:mc="http://schemas.openxmlformats.org/markup-compatibility/2006">
          <mc:Choice Requires="x14">
            <control shapeId="1459" r:id="rId111" name="Option Button 435">
              <controlPr defaultSize="0" autoFill="0" autoLine="0" autoPict="0">
                <anchor moveWithCells="1">
                  <from>
                    <xdr:col>0</xdr:col>
                    <xdr:colOff>628650</xdr:colOff>
                    <xdr:row>45</xdr:row>
                    <xdr:rowOff>9525</xdr:rowOff>
                  </from>
                  <to>
                    <xdr:col>1</xdr:col>
                    <xdr:colOff>57150</xdr:colOff>
                    <xdr:row>46</xdr:row>
                    <xdr:rowOff>28575</xdr:rowOff>
                  </to>
                </anchor>
              </controlPr>
            </control>
          </mc:Choice>
        </mc:AlternateContent>
        <mc:AlternateContent xmlns:mc="http://schemas.openxmlformats.org/markup-compatibility/2006">
          <mc:Choice Requires="x14">
            <control shapeId="1473" r:id="rId112" name="Group Box 449">
              <controlPr defaultSize="0" autoFill="0" autoPict="0">
                <anchor moveWithCells="1">
                  <from>
                    <xdr:col>0</xdr:col>
                    <xdr:colOff>485775</xdr:colOff>
                    <xdr:row>44</xdr:row>
                    <xdr:rowOff>142875</xdr:rowOff>
                  </from>
                  <to>
                    <xdr:col>9</xdr:col>
                    <xdr:colOff>600075</xdr:colOff>
                    <xdr:row>49</xdr:row>
                    <xdr:rowOff>114300</xdr:rowOff>
                  </to>
                </anchor>
              </controlPr>
            </control>
          </mc:Choice>
        </mc:AlternateContent>
        <mc:AlternateContent xmlns:mc="http://schemas.openxmlformats.org/markup-compatibility/2006">
          <mc:Choice Requires="x14">
            <control shapeId="1550" r:id="rId113" name="Group Box 526">
              <controlPr defaultSize="0" autoFill="0" autoPict="0">
                <anchor moveWithCells="1">
                  <from>
                    <xdr:col>0</xdr:col>
                    <xdr:colOff>361950</xdr:colOff>
                    <xdr:row>52</xdr:row>
                    <xdr:rowOff>76200</xdr:rowOff>
                  </from>
                  <to>
                    <xdr:col>9</xdr:col>
                    <xdr:colOff>495300</xdr:colOff>
                    <xdr:row>54</xdr:row>
                    <xdr:rowOff>95250</xdr:rowOff>
                  </to>
                </anchor>
              </controlPr>
            </control>
          </mc:Choice>
        </mc:AlternateContent>
        <mc:AlternateContent xmlns:mc="http://schemas.openxmlformats.org/markup-compatibility/2006">
          <mc:Choice Requires="x14">
            <control shapeId="1551" r:id="rId114" name="Option Button 527">
              <controlPr defaultSize="0" autoFill="0" autoLine="0" autoPict="0">
                <anchor moveWithCells="1">
                  <from>
                    <xdr:col>0</xdr:col>
                    <xdr:colOff>628650</xdr:colOff>
                    <xdr:row>52</xdr:row>
                    <xdr:rowOff>180975</xdr:rowOff>
                  </from>
                  <to>
                    <xdr:col>1</xdr:col>
                    <xdr:colOff>38100</xdr:colOff>
                    <xdr:row>54</xdr:row>
                    <xdr:rowOff>19050</xdr:rowOff>
                  </to>
                </anchor>
              </controlPr>
            </control>
          </mc:Choice>
        </mc:AlternateContent>
        <mc:AlternateContent xmlns:mc="http://schemas.openxmlformats.org/markup-compatibility/2006">
          <mc:Choice Requires="x14">
            <control shapeId="1553" r:id="rId115" name="Option Button 529">
              <controlPr defaultSize="0" autoFill="0" autoLine="0" autoPict="0">
                <anchor moveWithCells="1">
                  <from>
                    <xdr:col>1</xdr:col>
                    <xdr:colOff>295275</xdr:colOff>
                    <xdr:row>52</xdr:row>
                    <xdr:rowOff>171450</xdr:rowOff>
                  </from>
                  <to>
                    <xdr:col>2</xdr:col>
                    <xdr:colOff>47625</xdr:colOff>
                    <xdr:row>54</xdr:row>
                    <xdr:rowOff>9525</xdr:rowOff>
                  </to>
                </anchor>
              </controlPr>
            </control>
          </mc:Choice>
        </mc:AlternateContent>
        <mc:AlternateContent xmlns:mc="http://schemas.openxmlformats.org/markup-compatibility/2006">
          <mc:Choice Requires="x14">
            <control shapeId="1554" r:id="rId116" name="Option Button 530">
              <controlPr defaultSize="0" autoFill="0" autoLine="0" autoPict="0">
                <anchor moveWithCells="1">
                  <from>
                    <xdr:col>2</xdr:col>
                    <xdr:colOff>457200</xdr:colOff>
                    <xdr:row>52</xdr:row>
                    <xdr:rowOff>171450</xdr:rowOff>
                  </from>
                  <to>
                    <xdr:col>3</xdr:col>
                    <xdr:colOff>38100</xdr:colOff>
                    <xdr:row>54</xdr:row>
                    <xdr:rowOff>9525</xdr:rowOff>
                  </to>
                </anchor>
              </controlPr>
            </control>
          </mc:Choice>
        </mc:AlternateContent>
        <mc:AlternateContent xmlns:mc="http://schemas.openxmlformats.org/markup-compatibility/2006">
          <mc:Choice Requires="x14">
            <control shapeId="1555" r:id="rId117" name="Option Button 531">
              <controlPr defaultSize="0" autoFill="0" autoLine="0" autoPict="0">
                <anchor moveWithCells="1">
                  <from>
                    <xdr:col>3</xdr:col>
                    <xdr:colOff>447675</xdr:colOff>
                    <xdr:row>52</xdr:row>
                    <xdr:rowOff>161925</xdr:rowOff>
                  </from>
                  <to>
                    <xdr:col>4</xdr:col>
                    <xdr:colOff>28575</xdr:colOff>
                    <xdr:row>54</xdr:row>
                    <xdr:rowOff>0</xdr:rowOff>
                  </to>
                </anchor>
              </controlPr>
            </control>
          </mc:Choice>
        </mc:AlternateContent>
        <mc:AlternateContent xmlns:mc="http://schemas.openxmlformats.org/markup-compatibility/2006">
          <mc:Choice Requires="x14">
            <control shapeId="1556" r:id="rId118" name="Option Button 532">
              <controlPr defaultSize="0" autoFill="0" autoLine="0" autoPict="0">
                <anchor moveWithCells="1">
                  <from>
                    <xdr:col>4</xdr:col>
                    <xdr:colOff>428625</xdr:colOff>
                    <xdr:row>52</xdr:row>
                    <xdr:rowOff>161925</xdr:rowOff>
                  </from>
                  <to>
                    <xdr:col>5</xdr:col>
                    <xdr:colOff>9525</xdr:colOff>
                    <xdr:row>54</xdr:row>
                    <xdr:rowOff>0</xdr:rowOff>
                  </to>
                </anchor>
              </controlPr>
            </control>
          </mc:Choice>
        </mc:AlternateContent>
        <mc:AlternateContent xmlns:mc="http://schemas.openxmlformats.org/markup-compatibility/2006">
          <mc:Choice Requires="x14">
            <control shapeId="1557" r:id="rId119" name="Option Button 533">
              <controlPr defaultSize="0" autoFill="0" autoLine="0" autoPict="0">
                <anchor moveWithCells="1">
                  <from>
                    <xdr:col>5</xdr:col>
                    <xdr:colOff>428625</xdr:colOff>
                    <xdr:row>52</xdr:row>
                    <xdr:rowOff>171450</xdr:rowOff>
                  </from>
                  <to>
                    <xdr:col>6</xdr:col>
                    <xdr:colOff>9525</xdr:colOff>
                    <xdr:row>54</xdr:row>
                    <xdr:rowOff>9525</xdr:rowOff>
                  </to>
                </anchor>
              </controlPr>
            </control>
          </mc:Choice>
        </mc:AlternateContent>
        <mc:AlternateContent xmlns:mc="http://schemas.openxmlformats.org/markup-compatibility/2006">
          <mc:Choice Requires="x14">
            <control shapeId="1558" r:id="rId120" name="Option Button 534">
              <controlPr defaultSize="0" autoFill="0" autoLine="0" autoPict="0">
                <anchor moveWithCells="1">
                  <from>
                    <xdr:col>6</xdr:col>
                    <xdr:colOff>409575</xdr:colOff>
                    <xdr:row>52</xdr:row>
                    <xdr:rowOff>171450</xdr:rowOff>
                  </from>
                  <to>
                    <xdr:col>7</xdr:col>
                    <xdr:colOff>0</xdr:colOff>
                    <xdr:row>54</xdr:row>
                    <xdr:rowOff>9525</xdr:rowOff>
                  </to>
                </anchor>
              </controlPr>
            </control>
          </mc:Choice>
        </mc:AlternateContent>
        <mc:AlternateContent xmlns:mc="http://schemas.openxmlformats.org/markup-compatibility/2006">
          <mc:Choice Requires="x14">
            <control shapeId="1559" r:id="rId121" name="Group Box 535">
              <controlPr defaultSize="0" autoFill="0" autoPict="0">
                <anchor moveWithCells="1">
                  <from>
                    <xdr:col>0</xdr:col>
                    <xdr:colOff>304800</xdr:colOff>
                    <xdr:row>59</xdr:row>
                    <xdr:rowOff>47625</xdr:rowOff>
                  </from>
                  <to>
                    <xdr:col>9</xdr:col>
                    <xdr:colOff>514350</xdr:colOff>
                    <xdr:row>64</xdr:row>
                    <xdr:rowOff>57150</xdr:rowOff>
                  </to>
                </anchor>
              </controlPr>
            </control>
          </mc:Choice>
        </mc:AlternateContent>
        <mc:AlternateContent xmlns:mc="http://schemas.openxmlformats.org/markup-compatibility/2006">
          <mc:Choice Requires="x14">
            <control shapeId="1560" r:id="rId122" name="Option Button 536">
              <controlPr defaultSize="0" autoFill="0" autoLine="0" autoPict="0">
                <anchor moveWithCells="1">
                  <from>
                    <xdr:col>0</xdr:col>
                    <xdr:colOff>628650</xdr:colOff>
                    <xdr:row>59</xdr:row>
                    <xdr:rowOff>180975</xdr:rowOff>
                  </from>
                  <to>
                    <xdr:col>1</xdr:col>
                    <xdr:colOff>66675</xdr:colOff>
                    <xdr:row>61</xdr:row>
                    <xdr:rowOff>19050</xdr:rowOff>
                  </to>
                </anchor>
              </controlPr>
            </control>
          </mc:Choice>
        </mc:AlternateContent>
        <mc:AlternateContent xmlns:mc="http://schemas.openxmlformats.org/markup-compatibility/2006">
          <mc:Choice Requires="x14">
            <control shapeId="1561" r:id="rId123" name="Option Button 537">
              <controlPr defaultSize="0" autoFill="0" autoLine="0" autoPict="0">
                <anchor moveWithCells="1">
                  <from>
                    <xdr:col>3</xdr:col>
                    <xdr:colOff>561975</xdr:colOff>
                    <xdr:row>59</xdr:row>
                    <xdr:rowOff>171450</xdr:rowOff>
                  </from>
                  <to>
                    <xdr:col>4</xdr:col>
                    <xdr:colOff>161925</xdr:colOff>
                    <xdr:row>61</xdr:row>
                    <xdr:rowOff>9525</xdr:rowOff>
                  </to>
                </anchor>
              </controlPr>
            </control>
          </mc:Choice>
        </mc:AlternateContent>
        <mc:AlternateContent xmlns:mc="http://schemas.openxmlformats.org/markup-compatibility/2006">
          <mc:Choice Requires="x14">
            <control shapeId="1563" r:id="rId124" name="Option Button 539">
              <controlPr defaultSize="0" autoFill="0" autoLine="0" autoPict="0">
                <anchor moveWithCells="1">
                  <from>
                    <xdr:col>7</xdr:col>
                    <xdr:colOff>247650</xdr:colOff>
                    <xdr:row>60</xdr:row>
                    <xdr:rowOff>0</xdr:rowOff>
                  </from>
                  <to>
                    <xdr:col>7</xdr:col>
                    <xdr:colOff>495300</xdr:colOff>
                    <xdr:row>61</xdr:row>
                    <xdr:rowOff>28575</xdr:rowOff>
                  </to>
                </anchor>
              </controlPr>
            </control>
          </mc:Choice>
        </mc:AlternateContent>
        <mc:AlternateContent xmlns:mc="http://schemas.openxmlformats.org/markup-compatibility/2006">
          <mc:Choice Requires="x14">
            <control shapeId="1575" r:id="rId125" name="Group Box 551">
              <controlPr defaultSize="0" autoFill="0" autoPict="0">
                <anchor moveWithCells="1">
                  <from>
                    <xdr:col>0</xdr:col>
                    <xdr:colOff>323850</xdr:colOff>
                    <xdr:row>71</xdr:row>
                    <xdr:rowOff>85725</xdr:rowOff>
                  </from>
                  <to>
                    <xdr:col>9</xdr:col>
                    <xdr:colOff>619125</xdr:colOff>
                    <xdr:row>79</xdr:row>
                    <xdr:rowOff>161925</xdr:rowOff>
                  </to>
                </anchor>
              </controlPr>
            </control>
          </mc:Choice>
        </mc:AlternateContent>
        <mc:AlternateContent xmlns:mc="http://schemas.openxmlformats.org/markup-compatibility/2006">
          <mc:Choice Requires="x14">
            <control shapeId="1576" r:id="rId126" name="Option Button 552">
              <controlPr defaultSize="0" autoFill="0" autoLine="0" autoPict="0">
                <anchor moveWithCells="1">
                  <from>
                    <xdr:col>0</xdr:col>
                    <xdr:colOff>638175</xdr:colOff>
                    <xdr:row>72</xdr:row>
                    <xdr:rowOff>0</xdr:rowOff>
                  </from>
                  <to>
                    <xdr:col>1</xdr:col>
                    <xdr:colOff>47625</xdr:colOff>
                    <xdr:row>73</xdr:row>
                    <xdr:rowOff>28575</xdr:rowOff>
                  </to>
                </anchor>
              </controlPr>
            </control>
          </mc:Choice>
        </mc:AlternateContent>
        <mc:AlternateContent xmlns:mc="http://schemas.openxmlformats.org/markup-compatibility/2006">
          <mc:Choice Requires="x14">
            <control shapeId="1578" r:id="rId127" name="Option Button 554">
              <controlPr defaultSize="0" autoFill="0" autoLine="0" autoPict="0">
                <anchor moveWithCells="1">
                  <from>
                    <xdr:col>3</xdr:col>
                    <xdr:colOff>628650</xdr:colOff>
                    <xdr:row>73</xdr:row>
                    <xdr:rowOff>171450</xdr:rowOff>
                  </from>
                  <to>
                    <xdr:col>4</xdr:col>
                    <xdr:colOff>209550</xdr:colOff>
                    <xdr:row>74</xdr:row>
                    <xdr:rowOff>190500</xdr:rowOff>
                  </to>
                </anchor>
              </controlPr>
            </control>
          </mc:Choice>
        </mc:AlternateContent>
        <mc:AlternateContent xmlns:mc="http://schemas.openxmlformats.org/markup-compatibility/2006">
          <mc:Choice Requires="x14">
            <control shapeId="1579" r:id="rId128" name="Option Button 555">
              <controlPr defaultSize="0" autoFill="0" autoLine="0" autoPict="0">
                <anchor moveWithCells="1">
                  <from>
                    <xdr:col>3</xdr:col>
                    <xdr:colOff>628650</xdr:colOff>
                    <xdr:row>72</xdr:row>
                    <xdr:rowOff>9525</xdr:rowOff>
                  </from>
                  <to>
                    <xdr:col>4</xdr:col>
                    <xdr:colOff>209550</xdr:colOff>
                    <xdr:row>73</xdr:row>
                    <xdr:rowOff>38100</xdr:rowOff>
                  </to>
                </anchor>
              </controlPr>
            </control>
          </mc:Choice>
        </mc:AlternateContent>
        <mc:AlternateContent xmlns:mc="http://schemas.openxmlformats.org/markup-compatibility/2006">
          <mc:Choice Requires="x14">
            <control shapeId="1580" r:id="rId129" name="Option Button 556">
              <controlPr defaultSize="0" autoFill="0" autoLine="0" autoPict="0">
                <anchor moveWithCells="1">
                  <from>
                    <xdr:col>0</xdr:col>
                    <xdr:colOff>638175</xdr:colOff>
                    <xdr:row>73</xdr:row>
                    <xdr:rowOff>161925</xdr:rowOff>
                  </from>
                  <to>
                    <xdr:col>1</xdr:col>
                    <xdr:colOff>57150</xdr:colOff>
                    <xdr:row>74</xdr:row>
                    <xdr:rowOff>180975</xdr:rowOff>
                  </to>
                </anchor>
              </controlPr>
            </control>
          </mc:Choice>
        </mc:AlternateContent>
        <mc:AlternateContent xmlns:mc="http://schemas.openxmlformats.org/markup-compatibility/2006">
          <mc:Choice Requires="x14">
            <control shapeId="1581" r:id="rId130" name="Option Button 557">
              <controlPr defaultSize="0" autoFill="0" autoLine="0" autoPict="0">
                <anchor moveWithCells="1">
                  <from>
                    <xdr:col>0</xdr:col>
                    <xdr:colOff>638175</xdr:colOff>
                    <xdr:row>75</xdr:row>
                    <xdr:rowOff>180975</xdr:rowOff>
                  </from>
                  <to>
                    <xdr:col>1</xdr:col>
                    <xdr:colOff>57150</xdr:colOff>
                    <xdr:row>77</xdr:row>
                    <xdr:rowOff>19050</xdr:rowOff>
                  </to>
                </anchor>
              </controlPr>
            </control>
          </mc:Choice>
        </mc:AlternateContent>
        <mc:AlternateContent xmlns:mc="http://schemas.openxmlformats.org/markup-compatibility/2006">
          <mc:Choice Requires="x14">
            <control shapeId="1583" r:id="rId131" name="Option Button 559">
              <controlPr defaultSize="0" autoFill="0" autoLine="0" autoPict="0">
                <anchor moveWithCells="1">
                  <from>
                    <xdr:col>7</xdr:col>
                    <xdr:colOff>285750</xdr:colOff>
                    <xdr:row>71</xdr:row>
                    <xdr:rowOff>180975</xdr:rowOff>
                  </from>
                  <to>
                    <xdr:col>7</xdr:col>
                    <xdr:colOff>514350</xdr:colOff>
                    <xdr:row>73</xdr:row>
                    <xdr:rowOff>9525</xdr:rowOff>
                  </to>
                </anchor>
              </controlPr>
            </control>
          </mc:Choice>
        </mc:AlternateContent>
        <mc:AlternateContent xmlns:mc="http://schemas.openxmlformats.org/markup-compatibility/2006">
          <mc:Choice Requires="x14">
            <control shapeId="1585" r:id="rId132" name="Option Button 561">
              <controlPr defaultSize="0" autoFill="0" autoLine="0" autoPict="0">
                <anchor moveWithCells="1">
                  <from>
                    <xdr:col>0</xdr:col>
                    <xdr:colOff>628650</xdr:colOff>
                    <xdr:row>61</xdr:row>
                    <xdr:rowOff>152400</xdr:rowOff>
                  </from>
                  <to>
                    <xdr:col>1</xdr:col>
                    <xdr:colOff>66675</xdr:colOff>
                    <xdr:row>62</xdr:row>
                    <xdr:rowOff>180975</xdr:rowOff>
                  </to>
                </anchor>
              </controlPr>
            </control>
          </mc:Choice>
        </mc:AlternateContent>
        <mc:AlternateContent xmlns:mc="http://schemas.openxmlformats.org/markup-compatibility/2006">
          <mc:Choice Requires="x14">
            <control shapeId="1590" r:id="rId133" name="Check Box 566">
              <controlPr defaultSize="0" autoFill="0" autoLine="0" autoPict="0">
                <anchor moveWithCells="1">
                  <from>
                    <xdr:col>3</xdr:col>
                    <xdr:colOff>638175</xdr:colOff>
                    <xdr:row>75</xdr:row>
                    <xdr:rowOff>152400</xdr:rowOff>
                  </from>
                  <to>
                    <xdr:col>4</xdr:col>
                    <xdr:colOff>200025</xdr:colOff>
                    <xdr:row>76</xdr:row>
                    <xdr:rowOff>180975</xdr:rowOff>
                  </to>
                </anchor>
              </controlPr>
            </control>
          </mc:Choice>
        </mc:AlternateContent>
        <mc:AlternateContent xmlns:mc="http://schemas.openxmlformats.org/markup-compatibility/2006">
          <mc:Choice Requires="x14">
            <control shapeId="1591" r:id="rId134" name="Check Box 567">
              <controlPr defaultSize="0" autoFill="0" autoLine="0" autoPict="0">
                <anchor moveWithCells="1">
                  <from>
                    <xdr:col>3</xdr:col>
                    <xdr:colOff>647700</xdr:colOff>
                    <xdr:row>77</xdr:row>
                    <xdr:rowOff>152400</xdr:rowOff>
                  </from>
                  <to>
                    <xdr:col>4</xdr:col>
                    <xdr:colOff>219075</xdr:colOff>
                    <xdr:row>78</xdr:row>
                    <xdr:rowOff>180975</xdr:rowOff>
                  </to>
                </anchor>
              </controlPr>
            </control>
          </mc:Choice>
        </mc:AlternateContent>
        <mc:AlternateContent xmlns:mc="http://schemas.openxmlformats.org/markup-compatibility/2006">
          <mc:Choice Requires="x14">
            <control shapeId="1598" r:id="rId135" name="Group Box 574">
              <controlPr defaultSize="0" autoFill="0" autoPict="0">
                <anchor moveWithCells="1">
                  <from>
                    <xdr:col>0</xdr:col>
                    <xdr:colOff>314325</xdr:colOff>
                    <xdr:row>81</xdr:row>
                    <xdr:rowOff>85725</xdr:rowOff>
                  </from>
                  <to>
                    <xdr:col>10</xdr:col>
                    <xdr:colOff>47625</xdr:colOff>
                    <xdr:row>87</xdr:row>
                    <xdr:rowOff>38100</xdr:rowOff>
                  </to>
                </anchor>
              </controlPr>
            </control>
          </mc:Choice>
        </mc:AlternateContent>
        <mc:AlternateContent xmlns:mc="http://schemas.openxmlformats.org/markup-compatibility/2006">
          <mc:Choice Requires="x14">
            <control shapeId="1600" r:id="rId136" name="Option Button 576">
              <controlPr defaultSize="0" autoFill="0" autoLine="0" autoPict="0">
                <anchor moveWithCells="1">
                  <from>
                    <xdr:col>4</xdr:col>
                    <xdr:colOff>0</xdr:colOff>
                    <xdr:row>81</xdr:row>
                    <xdr:rowOff>161925</xdr:rowOff>
                  </from>
                  <to>
                    <xdr:col>4</xdr:col>
                    <xdr:colOff>219075</xdr:colOff>
                    <xdr:row>83</xdr:row>
                    <xdr:rowOff>19050</xdr:rowOff>
                  </to>
                </anchor>
              </controlPr>
            </control>
          </mc:Choice>
        </mc:AlternateContent>
        <mc:AlternateContent xmlns:mc="http://schemas.openxmlformats.org/markup-compatibility/2006">
          <mc:Choice Requires="x14">
            <control shapeId="1602" r:id="rId137" name="Option Button 578">
              <controlPr defaultSize="0" autoFill="0" autoLine="0" autoPict="0">
                <anchor moveWithCells="1">
                  <from>
                    <xdr:col>0</xdr:col>
                    <xdr:colOff>628650</xdr:colOff>
                    <xdr:row>84</xdr:row>
                    <xdr:rowOff>171450</xdr:rowOff>
                  </from>
                  <to>
                    <xdr:col>1</xdr:col>
                    <xdr:colOff>38100</xdr:colOff>
                    <xdr:row>86</xdr:row>
                    <xdr:rowOff>9525</xdr:rowOff>
                  </to>
                </anchor>
              </controlPr>
            </control>
          </mc:Choice>
        </mc:AlternateContent>
        <mc:AlternateContent xmlns:mc="http://schemas.openxmlformats.org/markup-compatibility/2006">
          <mc:Choice Requires="x14">
            <control shapeId="1603" r:id="rId138" name="Option Button 579">
              <controlPr defaultSize="0" autoFill="0" autoLine="0" autoPict="0">
                <anchor moveWithCells="1">
                  <from>
                    <xdr:col>7</xdr:col>
                    <xdr:colOff>304800</xdr:colOff>
                    <xdr:row>81</xdr:row>
                    <xdr:rowOff>180975</xdr:rowOff>
                  </from>
                  <to>
                    <xdr:col>7</xdr:col>
                    <xdr:colOff>523875</xdr:colOff>
                    <xdr:row>83</xdr:row>
                    <xdr:rowOff>47625</xdr:rowOff>
                  </to>
                </anchor>
              </controlPr>
            </control>
          </mc:Choice>
        </mc:AlternateContent>
        <mc:AlternateContent xmlns:mc="http://schemas.openxmlformats.org/markup-compatibility/2006">
          <mc:Choice Requires="x14">
            <control shapeId="1608" r:id="rId139" name="Option Button 584">
              <controlPr defaultSize="0" autoFill="0" autoLine="0" autoPict="0">
                <anchor moveWithCells="1">
                  <from>
                    <xdr:col>3</xdr:col>
                    <xdr:colOff>628650</xdr:colOff>
                    <xdr:row>89</xdr:row>
                    <xdr:rowOff>171450</xdr:rowOff>
                  </from>
                  <to>
                    <xdr:col>4</xdr:col>
                    <xdr:colOff>180975</xdr:colOff>
                    <xdr:row>91</xdr:row>
                    <xdr:rowOff>9525</xdr:rowOff>
                  </to>
                </anchor>
              </controlPr>
            </control>
          </mc:Choice>
        </mc:AlternateContent>
        <mc:AlternateContent xmlns:mc="http://schemas.openxmlformats.org/markup-compatibility/2006">
          <mc:Choice Requires="x14">
            <control shapeId="1609" r:id="rId140" name="Option Button 585">
              <controlPr defaultSize="0" autoFill="0" autoLine="0" autoPict="0">
                <anchor moveWithCells="1">
                  <from>
                    <xdr:col>7</xdr:col>
                    <xdr:colOff>342900</xdr:colOff>
                    <xdr:row>89</xdr:row>
                    <xdr:rowOff>9525</xdr:rowOff>
                  </from>
                  <to>
                    <xdr:col>7</xdr:col>
                    <xdr:colOff>542925</xdr:colOff>
                    <xdr:row>90</xdr:row>
                    <xdr:rowOff>38100</xdr:rowOff>
                  </to>
                </anchor>
              </controlPr>
            </control>
          </mc:Choice>
        </mc:AlternateContent>
        <mc:AlternateContent xmlns:mc="http://schemas.openxmlformats.org/markup-compatibility/2006">
          <mc:Choice Requires="x14">
            <control shapeId="1611" r:id="rId141" name="Option Button 587">
              <controlPr defaultSize="0" autoFill="0" autoLine="0" autoPict="0">
                <anchor moveWithCells="1">
                  <from>
                    <xdr:col>3</xdr:col>
                    <xdr:colOff>628650</xdr:colOff>
                    <xdr:row>88</xdr:row>
                    <xdr:rowOff>180975</xdr:rowOff>
                  </from>
                  <to>
                    <xdr:col>4</xdr:col>
                    <xdr:colOff>180975</xdr:colOff>
                    <xdr:row>90</xdr:row>
                    <xdr:rowOff>0</xdr:rowOff>
                  </to>
                </anchor>
              </controlPr>
            </control>
          </mc:Choice>
        </mc:AlternateContent>
        <mc:AlternateContent xmlns:mc="http://schemas.openxmlformats.org/markup-compatibility/2006">
          <mc:Choice Requires="x14">
            <control shapeId="1612" r:id="rId142" name="Option Button 588">
              <controlPr defaultSize="0" autoFill="0" autoLine="0" autoPict="0">
                <anchor moveWithCells="1">
                  <from>
                    <xdr:col>0</xdr:col>
                    <xdr:colOff>628650</xdr:colOff>
                    <xdr:row>99</xdr:row>
                    <xdr:rowOff>171450</xdr:rowOff>
                  </from>
                  <to>
                    <xdr:col>1</xdr:col>
                    <xdr:colOff>28575</xdr:colOff>
                    <xdr:row>101</xdr:row>
                    <xdr:rowOff>9525</xdr:rowOff>
                  </to>
                </anchor>
              </controlPr>
            </control>
          </mc:Choice>
        </mc:AlternateContent>
        <mc:AlternateContent xmlns:mc="http://schemas.openxmlformats.org/markup-compatibility/2006">
          <mc:Choice Requires="x14">
            <control shapeId="1656" r:id="rId143" name="Group Box 632">
              <controlPr defaultSize="0" autoFill="0" autoPict="0">
                <anchor moveWithCells="1">
                  <from>
                    <xdr:col>0</xdr:col>
                    <xdr:colOff>266700</xdr:colOff>
                    <xdr:row>113</xdr:row>
                    <xdr:rowOff>95250</xdr:rowOff>
                  </from>
                  <to>
                    <xdr:col>10</xdr:col>
                    <xdr:colOff>38100</xdr:colOff>
                    <xdr:row>119</xdr:row>
                    <xdr:rowOff>85725</xdr:rowOff>
                  </to>
                </anchor>
              </controlPr>
            </control>
          </mc:Choice>
        </mc:AlternateContent>
        <mc:AlternateContent xmlns:mc="http://schemas.openxmlformats.org/markup-compatibility/2006">
          <mc:Choice Requires="x14">
            <control shapeId="1674" r:id="rId144" name="Option Button 650">
              <controlPr defaultSize="0" autoFill="0" autoLine="0" autoPict="0">
                <anchor moveWithCells="1">
                  <from>
                    <xdr:col>0</xdr:col>
                    <xdr:colOff>638175</xdr:colOff>
                    <xdr:row>114</xdr:row>
                    <xdr:rowOff>0</xdr:rowOff>
                  </from>
                  <to>
                    <xdr:col>1</xdr:col>
                    <xdr:colOff>47625</xdr:colOff>
                    <xdr:row>115</xdr:row>
                    <xdr:rowOff>19050</xdr:rowOff>
                  </to>
                </anchor>
              </controlPr>
            </control>
          </mc:Choice>
        </mc:AlternateContent>
        <mc:AlternateContent xmlns:mc="http://schemas.openxmlformats.org/markup-compatibility/2006">
          <mc:Choice Requires="x14">
            <control shapeId="1675" r:id="rId145" name="Option Button 651">
              <controlPr defaultSize="0" autoFill="0" autoLine="0" autoPict="0">
                <anchor moveWithCells="1">
                  <from>
                    <xdr:col>4</xdr:col>
                    <xdr:colOff>371475</xdr:colOff>
                    <xdr:row>113</xdr:row>
                    <xdr:rowOff>200025</xdr:rowOff>
                  </from>
                  <to>
                    <xdr:col>4</xdr:col>
                    <xdr:colOff>600075</xdr:colOff>
                    <xdr:row>115</xdr:row>
                    <xdr:rowOff>28575</xdr:rowOff>
                  </to>
                </anchor>
              </controlPr>
            </control>
          </mc:Choice>
        </mc:AlternateContent>
        <mc:AlternateContent xmlns:mc="http://schemas.openxmlformats.org/markup-compatibility/2006">
          <mc:Choice Requires="x14">
            <control shapeId="1676" r:id="rId146" name="Option Button 652">
              <controlPr defaultSize="0" autoFill="0" autoLine="0" autoPict="0">
                <anchor moveWithCells="1">
                  <from>
                    <xdr:col>8</xdr:col>
                    <xdr:colOff>28575</xdr:colOff>
                    <xdr:row>113</xdr:row>
                    <xdr:rowOff>190500</xdr:rowOff>
                  </from>
                  <to>
                    <xdr:col>8</xdr:col>
                    <xdr:colOff>257175</xdr:colOff>
                    <xdr:row>115</xdr:row>
                    <xdr:rowOff>19050</xdr:rowOff>
                  </to>
                </anchor>
              </controlPr>
            </control>
          </mc:Choice>
        </mc:AlternateContent>
        <mc:AlternateContent xmlns:mc="http://schemas.openxmlformats.org/markup-compatibility/2006">
          <mc:Choice Requires="x14">
            <control shapeId="1677" r:id="rId147" name="Option Button 653">
              <controlPr defaultSize="0" autoFill="0" autoLine="0" autoPict="0">
                <anchor moveWithCells="1">
                  <from>
                    <xdr:col>0</xdr:col>
                    <xdr:colOff>638175</xdr:colOff>
                    <xdr:row>117</xdr:row>
                    <xdr:rowOff>180975</xdr:rowOff>
                  </from>
                  <to>
                    <xdr:col>1</xdr:col>
                    <xdr:colOff>57150</xdr:colOff>
                    <xdr:row>119</xdr:row>
                    <xdr:rowOff>19050</xdr:rowOff>
                  </to>
                </anchor>
              </controlPr>
            </control>
          </mc:Choice>
        </mc:AlternateContent>
        <mc:AlternateContent xmlns:mc="http://schemas.openxmlformats.org/markup-compatibility/2006">
          <mc:Choice Requires="x14">
            <control shapeId="1678" r:id="rId148" name="Group Box 654">
              <controlPr defaultSize="0" autoFill="0" autoPict="0">
                <anchor moveWithCells="1">
                  <from>
                    <xdr:col>0</xdr:col>
                    <xdr:colOff>209550</xdr:colOff>
                    <xdr:row>120</xdr:row>
                    <xdr:rowOff>9525</xdr:rowOff>
                  </from>
                  <to>
                    <xdr:col>10</xdr:col>
                    <xdr:colOff>66675</xdr:colOff>
                    <xdr:row>127</xdr:row>
                    <xdr:rowOff>123825</xdr:rowOff>
                  </to>
                </anchor>
              </controlPr>
            </control>
          </mc:Choice>
        </mc:AlternateContent>
        <mc:AlternateContent xmlns:mc="http://schemas.openxmlformats.org/markup-compatibility/2006">
          <mc:Choice Requires="x14">
            <control shapeId="1679" r:id="rId149" name="Option Button 655">
              <controlPr defaultSize="0" autoFill="0" autoLine="0" autoPict="0">
                <anchor moveWithCells="1">
                  <from>
                    <xdr:col>0</xdr:col>
                    <xdr:colOff>628650</xdr:colOff>
                    <xdr:row>120</xdr:row>
                    <xdr:rowOff>161925</xdr:rowOff>
                  </from>
                  <to>
                    <xdr:col>1</xdr:col>
                    <xdr:colOff>19050</xdr:colOff>
                    <xdr:row>121</xdr:row>
                    <xdr:rowOff>180975</xdr:rowOff>
                  </to>
                </anchor>
              </controlPr>
            </control>
          </mc:Choice>
        </mc:AlternateContent>
        <mc:AlternateContent xmlns:mc="http://schemas.openxmlformats.org/markup-compatibility/2006">
          <mc:Choice Requires="x14">
            <control shapeId="1680" r:id="rId150" name="Option Button 656">
              <controlPr defaultSize="0" autoFill="0" autoLine="0" autoPict="0">
                <anchor moveWithCells="1">
                  <from>
                    <xdr:col>0</xdr:col>
                    <xdr:colOff>628650</xdr:colOff>
                    <xdr:row>122</xdr:row>
                    <xdr:rowOff>161925</xdr:rowOff>
                  </from>
                  <to>
                    <xdr:col>1</xdr:col>
                    <xdr:colOff>19050</xdr:colOff>
                    <xdr:row>124</xdr:row>
                    <xdr:rowOff>0</xdr:rowOff>
                  </to>
                </anchor>
              </controlPr>
            </control>
          </mc:Choice>
        </mc:AlternateContent>
        <mc:AlternateContent xmlns:mc="http://schemas.openxmlformats.org/markup-compatibility/2006">
          <mc:Choice Requires="x14">
            <control shapeId="1681" r:id="rId151" name="Option Button 657">
              <controlPr defaultSize="0" autoFill="0" autoLine="0" autoPict="0">
                <anchor moveWithCells="1">
                  <from>
                    <xdr:col>0</xdr:col>
                    <xdr:colOff>628650</xdr:colOff>
                    <xdr:row>126</xdr:row>
                    <xdr:rowOff>0</xdr:rowOff>
                  </from>
                  <to>
                    <xdr:col>1</xdr:col>
                    <xdr:colOff>19050</xdr:colOff>
                    <xdr:row>127</xdr:row>
                    <xdr:rowOff>28575</xdr:rowOff>
                  </to>
                </anchor>
              </controlPr>
            </control>
          </mc:Choice>
        </mc:AlternateContent>
        <mc:AlternateContent xmlns:mc="http://schemas.openxmlformats.org/markup-compatibility/2006">
          <mc:Choice Requires="x14">
            <control shapeId="1682" r:id="rId152" name="Option Button 658">
              <controlPr defaultSize="0" autoFill="0" autoLine="0" autoPict="0">
                <anchor moveWithCells="1">
                  <from>
                    <xdr:col>4</xdr:col>
                    <xdr:colOff>381000</xdr:colOff>
                    <xdr:row>121</xdr:row>
                    <xdr:rowOff>19050</xdr:rowOff>
                  </from>
                  <to>
                    <xdr:col>4</xdr:col>
                    <xdr:colOff>590550</xdr:colOff>
                    <xdr:row>122</xdr:row>
                    <xdr:rowOff>47625</xdr:rowOff>
                  </to>
                </anchor>
              </controlPr>
            </control>
          </mc:Choice>
        </mc:AlternateContent>
        <mc:AlternateContent xmlns:mc="http://schemas.openxmlformats.org/markup-compatibility/2006">
          <mc:Choice Requires="x14">
            <control shapeId="1683" r:id="rId153" name="Option Button 659">
              <controlPr defaultSize="0" autoFill="0" autoLine="0" autoPict="0">
                <anchor moveWithCells="1">
                  <from>
                    <xdr:col>8</xdr:col>
                    <xdr:colOff>66675</xdr:colOff>
                    <xdr:row>121</xdr:row>
                    <xdr:rowOff>9525</xdr:rowOff>
                  </from>
                  <to>
                    <xdr:col>8</xdr:col>
                    <xdr:colOff>276225</xdr:colOff>
                    <xdr:row>122</xdr:row>
                    <xdr:rowOff>38100</xdr:rowOff>
                  </to>
                </anchor>
              </controlPr>
            </control>
          </mc:Choice>
        </mc:AlternateContent>
        <mc:AlternateContent xmlns:mc="http://schemas.openxmlformats.org/markup-compatibility/2006">
          <mc:Choice Requires="x14">
            <control shapeId="1685" r:id="rId154" name="Group Box 661">
              <controlPr defaultSize="0" autoFill="0" autoPict="0">
                <anchor moveWithCells="1">
                  <from>
                    <xdr:col>0</xdr:col>
                    <xdr:colOff>352425</xdr:colOff>
                    <xdr:row>128</xdr:row>
                    <xdr:rowOff>152400</xdr:rowOff>
                  </from>
                  <to>
                    <xdr:col>3</xdr:col>
                    <xdr:colOff>342900</xdr:colOff>
                    <xdr:row>136</xdr:row>
                    <xdr:rowOff>19050</xdr:rowOff>
                  </to>
                </anchor>
              </controlPr>
            </control>
          </mc:Choice>
        </mc:AlternateContent>
        <mc:AlternateContent xmlns:mc="http://schemas.openxmlformats.org/markup-compatibility/2006">
          <mc:Choice Requires="x14">
            <control shapeId="1687" r:id="rId155" name="Check Box 663">
              <controlPr defaultSize="0" autoFill="0" autoLine="0" autoPict="0">
                <anchor moveWithCells="1">
                  <from>
                    <xdr:col>0</xdr:col>
                    <xdr:colOff>600075</xdr:colOff>
                    <xdr:row>129</xdr:row>
                    <xdr:rowOff>9525</xdr:rowOff>
                  </from>
                  <to>
                    <xdr:col>0</xdr:col>
                    <xdr:colOff>800100</xdr:colOff>
                    <xdr:row>130</xdr:row>
                    <xdr:rowOff>28575</xdr:rowOff>
                  </to>
                </anchor>
              </controlPr>
            </control>
          </mc:Choice>
        </mc:AlternateContent>
        <mc:AlternateContent xmlns:mc="http://schemas.openxmlformats.org/markup-compatibility/2006">
          <mc:Choice Requires="x14">
            <control shapeId="1688" r:id="rId156" name="Group Box 664">
              <controlPr defaultSize="0" autoFill="0" autoPict="0">
                <anchor moveWithCells="1">
                  <from>
                    <xdr:col>3</xdr:col>
                    <xdr:colOff>409575</xdr:colOff>
                    <xdr:row>128</xdr:row>
                    <xdr:rowOff>133350</xdr:rowOff>
                  </from>
                  <to>
                    <xdr:col>5</xdr:col>
                    <xdr:colOff>504825</xdr:colOff>
                    <xdr:row>135</xdr:row>
                    <xdr:rowOff>133350</xdr:rowOff>
                  </to>
                </anchor>
              </controlPr>
            </control>
          </mc:Choice>
        </mc:AlternateContent>
        <mc:AlternateContent xmlns:mc="http://schemas.openxmlformats.org/markup-compatibility/2006">
          <mc:Choice Requires="x14">
            <control shapeId="1693" r:id="rId157" name="Group Box 669">
              <controlPr defaultSize="0" autoFill="0" autoPict="0">
                <anchor moveWithCells="1">
                  <from>
                    <xdr:col>5</xdr:col>
                    <xdr:colOff>561975</xdr:colOff>
                    <xdr:row>129</xdr:row>
                    <xdr:rowOff>0</xdr:rowOff>
                  </from>
                  <to>
                    <xdr:col>7</xdr:col>
                    <xdr:colOff>219075</xdr:colOff>
                    <xdr:row>136</xdr:row>
                    <xdr:rowOff>0</xdr:rowOff>
                  </to>
                </anchor>
              </controlPr>
            </control>
          </mc:Choice>
        </mc:AlternateContent>
        <mc:AlternateContent xmlns:mc="http://schemas.openxmlformats.org/markup-compatibility/2006">
          <mc:Choice Requires="x14">
            <control shapeId="1696" r:id="rId158" name="Group Box 672">
              <controlPr defaultSize="0" autoFill="0" autoPict="0">
                <anchor moveWithCells="1">
                  <from>
                    <xdr:col>7</xdr:col>
                    <xdr:colOff>381000</xdr:colOff>
                    <xdr:row>128</xdr:row>
                    <xdr:rowOff>152400</xdr:rowOff>
                  </from>
                  <to>
                    <xdr:col>10</xdr:col>
                    <xdr:colOff>76200</xdr:colOff>
                    <xdr:row>135</xdr:row>
                    <xdr:rowOff>9525</xdr:rowOff>
                  </to>
                </anchor>
              </controlPr>
            </control>
          </mc:Choice>
        </mc:AlternateContent>
        <mc:AlternateContent xmlns:mc="http://schemas.openxmlformats.org/markup-compatibility/2006">
          <mc:Choice Requires="x14">
            <control shapeId="1701" r:id="rId159" name="Option Button 677">
              <controlPr defaultSize="0" autoFill="0" autoLine="0" autoPict="0">
                <anchor moveWithCells="1">
                  <from>
                    <xdr:col>8</xdr:col>
                    <xdr:colOff>66675</xdr:colOff>
                    <xdr:row>129</xdr:row>
                    <xdr:rowOff>180975</xdr:rowOff>
                  </from>
                  <to>
                    <xdr:col>8</xdr:col>
                    <xdr:colOff>266700</xdr:colOff>
                    <xdr:row>131</xdr:row>
                    <xdr:rowOff>9525</xdr:rowOff>
                  </to>
                </anchor>
              </controlPr>
            </control>
          </mc:Choice>
        </mc:AlternateContent>
        <mc:AlternateContent xmlns:mc="http://schemas.openxmlformats.org/markup-compatibility/2006">
          <mc:Choice Requires="x14">
            <control shapeId="1702" r:id="rId160" name="Option Button 678">
              <controlPr defaultSize="0" autoFill="0" autoLine="0" autoPict="0">
                <anchor moveWithCells="1">
                  <from>
                    <xdr:col>8</xdr:col>
                    <xdr:colOff>76200</xdr:colOff>
                    <xdr:row>130</xdr:row>
                    <xdr:rowOff>171450</xdr:rowOff>
                  </from>
                  <to>
                    <xdr:col>8</xdr:col>
                    <xdr:colOff>276225</xdr:colOff>
                    <xdr:row>132</xdr:row>
                    <xdr:rowOff>9525</xdr:rowOff>
                  </to>
                </anchor>
              </controlPr>
            </control>
          </mc:Choice>
        </mc:AlternateContent>
        <mc:AlternateContent xmlns:mc="http://schemas.openxmlformats.org/markup-compatibility/2006">
          <mc:Choice Requires="x14">
            <control shapeId="1705" r:id="rId161" name="Check Box 681">
              <controlPr defaultSize="0" autoFill="0" autoLine="0" autoPict="0">
                <anchor moveWithCells="1">
                  <from>
                    <xdr:col>0</xdr:col>
                    <xdr:colOff>609600</xdr:colOff>
                    <xdr:row>138</xdr:row>
                    <xdr:rowOff>161925</xdr:rowOff>
                  </from>
                  <to>
                    <xdr:col>1</xdr:col>
                    <xdr:colOff>0</xdr:colOff>
                    <xdr:row>140</xdr:row>
                    <xdr:rowOff>0</xdr:rowOff>
                  </to>
                </anchor>
              </controlPr>
            </control>
          </mc:Choice>
        </mc:AlternateContent>
        <mc:AlternateContent xmlns:mc="http://schemas.openxmlformats.org/markup-compatibility/2006">
          <mc:Choice Requires="x14">
            <control shapeId="1707" r:id="rId162" name="Check Box 683">
              <controlPr defaultSize="0" autoFill="0" autoLine="0" autoPict="0">
                <anchor moveWithCells="1">
                  <from>
                    <xdr:col>0</xdr:col>
                    <xdr:colOff>609600</xdr:colOff>
                    <xdr:row>140</xdr:row>
                    <xdr:rowOff>190500</xdr:rowOff>
                  </from>
                  <to>
                    <xdr:col>1</xdr:col>
                    <xdr:colOff>9525</xdr:colOff>
                    <xdr:row>142</xdr:row>
                    <xdr:rowOff>19050</xdr:rowOff>
                  </to>
                </anchor>
              </controlPr>
            </control>
          </mc:Choice>
        </mc:AlternateContent>
        <mc:AlternateContent xmlns:mc="http://schemas.openxmlformats.org/markup-compatibility/2006">
          <mc:Choice Requires="x14">
            <control shapeId="1708" r:id="rId163" name="Group Box 684">
              <controlPr defaultSize="0" autoFill="0" autoPict="0">
                <anchor moveWithCells="1">
                  <from>
                    <xdr:col>0</xdr:col>
                    <xdr:colOff>238125</xdr:colOff>
                    <xdr:row>103</xdr:row>
                    <xdr:rowOff>76200</xdr:rowOff>
                  </from>
                  <to>
                    <xdr:col>10</xdr:col>
                    <xdr:colOff>381000</xdr:colOff>
                    <xdr:row>109</xdr:row>
                    <xdr:rowOff>104775</xdr:rowOff>
                  </to>
                </anchor>
              </controlPr>
            </control>
          </mc:Choice>
        </mc:AlternateContent>
        <mc:AlternateContent xmlns:mc="http://schemas.openxmlformats.org/markup-compatibility/2006">
          <mc:Choice Requires="x14">
            <control shapeId="1709" r:id="rId164" name="Option Button 685">
              <controlPr defaultSize="0" autoFill="0" autoLine="0" autoPict="0">
                <anchor moveWithCells="1">
                  <from>
                    <xdr:col>0</xdr:col>
                    <xdr:colOff>628650</xdr:colOff>
                    <xdr:row>104</xdr:row>
                    <xdr:rowOff>9525</xdr:rowOff>
                  </from>
                  <to>
                    <xdr:col>1</xdr:col>
                    <xdr:colOff>9525</xdr:colOff>
                    <xdr:row>105</xdr:row>
                    <xdr:rowOff>38100</xdr:rowOff>
                  </to>
                </anchor>
              </controlPr>
            </control>
          </mc:Choice>
        </mc:AlternateContent>
        <mc:AlternateContent xmlns:mc="http://schemas.openxmlformats.org/markup-compatibility/2006">
          <mc:Choice Requires="x14">
            <control shapeId="1710" r:id="rId165" name="Option Button 686">
              <controlPr defaultSize="0" autoFill="0" autoLine="0" autoPict="0">
                <anchor moveWithCells="1">
                  <from>
                    <xdr:col>3</xdr:col>
                    <xdr:colOff>628650</xdr:colOff>
                    <xdr:row>104</xdr:row>
                    <xdr:rowOff>0</xdr:rowOff>
                  </from>
                  <to>
                    <xdr:col>4</xdr:col>
                    <xdr:colOff>180975</xdr:colOff>
                    <xdr:row>105</xdr:row>
                    <xdr:rowOff>28575</xdr:rowOff>
                  </to>
                </anchor>
              </controlPr>
            </control>
          </mc:Choice>
        </mc:AlternateContent>
        <mc:AlternateContent xmlns:mc="http://schemas.openxmlformats.org/markup-compatibility/2006">
          <mc:Choice Requires="x14">
            <control shapeId="1711" r:id="rId166" name="Option Button 687">
              <controlPr defaultSize="0" autoFill="0" autoLine="0" autoPict="0">
                <anchor moveWithCells="1">
                  <from>
                    <xdr:col>3</xdr:col>
                    <xdr:colOff>638175</xdr:colOff>
                    <xdr:row>105</xdr:row>
                    <xdr:rowOff>171450</xdr:rowOff>
                  </from>
                  <to>
                    <xdr:col>4</xdr:col>
                    <xdr:colOff>190500</xdr:colOff>
                    <xdr:row>107</xdr:row>
                    <xdr:rowOff>9525</xdr:rowOff>
                  </to>
                </anchor>
              </controlPr>
            </control>
          </mc:Choice>
        </mc:AlternateContent>
        <mc:AlternateContent xmlns:mc="http://schemas.openxmlformats.org/markup-compatibility/2006">
          <mc:Choice Requires="x14">
            <control shapeId="1712" r:id="rId167" name="Option Button 688">
              <controlPr defaultSize="0" autoFill="0" autoLine="0" autoPict="0">
                <anchor moveWithCells="1">
                  <from>
                    <xdr:col>7</xdr:col>
                    <xdr:colOff>381000</xdr:colOff>
                    <xdr:row>104</xdr:row>
                    <xdr:rowOff>0</xdr:rowOff>
                  </from>
                  <to>
                    <xdr:col>7</xdr:col>
                    <xdr:colOff>581025</xdr:colOff>
                    <xdr:row>105</xdr:row>
                    <xdr:rowOff>28575</xdr:rowOff>
                  </to>
                </anchor>
              </controlPr>
            </control>
          </mc:Choice>
        </mc:AlternateContent>
        <mc:AlternateContent xmlns:mc="http://schemas.openxmlformats.org/markup-compatibility/2006">
          <mc:Choice Requires="x14">
            <control shapeId="1713" r:id="rId168" name="Option Button 689">
              <controlPr defaultSize="0" autoFill="0" autoLine="0" autoPict="0">
                <anchor moveWithCells="1">
                  <from>
                    <xdr:col>7</xdr:col>
                    <xdr:colOff>390525</xdr:colOff>
                    <xdr:row>105</xdr:row>
                    <xdr:rowOff>161925</xdr:rowOff>
                  </from>
                  <to>
                    <xdr:col>7</xdr:col>
                    <xdr:colOff>590550</xdr:colOff>
                    <xdr:row>107</xdr:row>
                    <xdr:rowOff>0</xdr:rowOff>
                  </to>
                </anchor>
              </controlPr>
            </control>
          </mc:Choice>
        </mc:AlternateContent>
        <mc:AlternateContent xmlns:mc="http://schemas.openxmlformats.org/markup-compatibility/2006">
          <mc:Choice Requires="x14">
            <control shapeId="1715" r:id="rId169" name="Check Box 691">
              <controlPr defaultSize="0" autoFill="0" autoLine="0" autoPict="0">
                <anchor moveWithCells="1">
                  <from>
                    <xdr:col>0</xdr:col>
                    <xdr:colOff>609600</xdr:colOff>
                    <xdr:row>142</xdr:row>
                    <xdr:rowOff>180975</xdr:rowOff>
                  </from>
                  <to>
                    <xdr:col>1</xdr:col>
                    <xdr:colOff>9525</xdr:colOff>
                    <xdr:row>144</xdr:row>
                    <xdr:rowOff>19050</xdr:rowOff>
                  </to>
                </anchor>
              </controlPr>
            </control>
          </mc:Choice>
        </mc:AlternateContent>
        <mc:AlternateContent xmlns:mc="http://schemas.openxmlformats.org/markup-compatibility/2006">
          <mc:Choice Requires="x14">
            <control shapeId="1717" r:id="rId170" name="Check Box 693">
              <controlPr defaultSize="0" autoFill="0" autoLine="0" autoPict="0">
                <anchor moveWithCells="1">
                  <from>
                    <xdr:col>0</xdr:col>
                    <xdr:colOff>609600</xdr:colOff>
                    <xdr:row>147</xdr:row>
                    <xdr:rowOff>0</xdr:rowOff>
                  </from>
                  <to>
                    <xdr:col>0</xdr:col>
                    <xdr:colOff>809625</xdr:colOff>
                    <xdr:row>148</xdr:row>
                    <xdr:rowOff>28575</xdr:rowOff>
                  </to>
                </anchor>
              </controlPr>
            </control>
          </mc:Choice>
        </mc:AlternateContent>
        <mc:AlternateContent xmlns:mc="http://schemas.openxmlformats.org/markup-compatibility/2006">
          <mc:Choice Requires="x14">
            <control shapeId="1727" r:id="rId171" name="Option Button 703">
              <controlPr defaultSize="0" autoFill="0" autoLine="0" autoPict="0">
                <anchor moveWithCells="1">
                  <from>
                    <xdr:col>7</xdr:col>
                    <xdr:colOff>200025</xdr:colOff>
                    <xdr:row>45</xdr:row>
                    <xdr:rowOff>9525</xdr:rowOff>
                  </from>
                  <to>
                    <xdr:col>7</xdr:col>
                    <xdr:colOff>447675</xdr:colOff>
                    <xdr:row>46</xdr:row>
                    <xdr:rowOff>38100</xdr:rowOff>
                  </to>
                </anchor>
              </controlPr>
            </control>
          </mc:Choice>
        </mc:AlternateContent>
        <mc:AlternateContent xmlns:mc="http://schemas.openxmlformats.org/markup-compatibility/2006">
          <mc:Choice Requires="x14">
            <control shapeId="1746" r:id="rId172" name="Option Button 722">
              <controlPr defaultSize="0" autoFill="0" autoLine="0" autoPict="0">
                <anchor moveWithCells="1">
                  <from>
                    <xdr:col>3</xdr:col>
                    <xdr:colOff>561975</xdr:colOff>
                    <xdr:row>67</xdr:row>
                    <xdr:rowOff>19050</xdr:rowOff>
                  </from>
                  <to>
                    <xdr:col>4</xdr:col>
                    <xdr:colOff>152400</xdr:colOff>
                    <xdr:row>68</xdr:row>
                    <xdr:rowOff>38100</xdr:rowOff>
                  </to>
                </anchor>
              </controlPr>
            </control>
          </mc:Choice>
        </mc:AlternateContent>
        <mc:AlternateContent xmlns:mc="http://schemas.openxmlformats.org/markup-compatibility/2006">
          <mc:Choice Requires="x14">
            <control shapeId="1747" r:id="rId173" name="Option Button 723">
              <controlPr defaultSize="0" autoFill="0" autoLine="0" autoPict="0">
                <anchor moveWithCells="1">
                  <from>
                    <xdr:col>0</xdr:col>
                    <xdr:colOff>638175</xdr:colOff>
                    <xdr:row>66</xdr:row>
                    <xdr:rowOff>9525</xdr:rowOff>
                  </from>
                  <to>
                    <xdr:col>1</xdr:col>
                    <xdr:colOff>66675</xdr:colOff>
                    <xdr:row>67</xdr:row>
                    <xdr:rowOff>38100</xdr:rowOff>
                  </to>
                </anchor>
              </controlPr>
            </control>
          </mc:Choice>
        </mc:AlternateContent>
        <mc:AlternateContent xmlns:mc="http://schemas.openxmlformats.org/markup-compatibility/2006">
          <mc:Choice Requires="x14">
            <control shapeId="1751" r:id="rId174" name="Option Button 727">
              <controlPr defaultSize="0" autoFill="0" autoLine="0" autoPict="0">
                <anchor moveWithCells="1">
                  <from>
                    <xdr:col>7</xdr:col>
                    <xdr:colOff>342900</xdr:colOff>
                    <xdr:row>91</xdr:row>
                    <xdr:rowOff>0</xdr:rowOff>
                  </from>
                  <to>
                    <xdr:col>7</xdr:col>
                    <xdr:colOff>542925</xdr:colOff>
                    <xdr:row>92</xdr:row>
                    <xdr:rowOff>28575</xdr:rowOff>
                  </to>
                </anchor>
              </controlPr>
            </control>
          </mc:Choice>
        </mc:AlternateContent>
        <mc:AlternateContent xmlns:mc="http://schemas.openxmlformats.org/markup-compatibility/2006">
          <mc:Choice Requires="x14">
            <control shapeId="1756" r:id="rId175" name="Option Button 732">
              <controlPr defaultSize="0" autoFill="0" autoLine="0" autoPict="0">
                <anchor moveWithCells="1">
                  <from>
                    <xdr:col>3</xdr:col>
                    <xdr:colOff>628650</xdr:colOff>
                    <xdr:row>90</xdr:row>
                    <xdr:rowOff>190500</xdr:rowOff>
                  </from>
                  <to>
                    <xdr:col>4</xdr:col>
                    <xdr:colOff>180975</xdr:colOff>
                    <xdr:row>92</xdr:row>
                    <xdr:rowOff>19050</xdr:rowOff>
                  </to>
                </anchor>
              </controlPr>
            </control>
          </mc:Choice>
        </mc:AlternateContent>
        <mc:AlternateContent xmlns:mc="http://schemas.openxmlformats.org/markup-compatibility/2006">
          <mc:Choice Requires="x14">
            <control shapeId="1767" r:id="rId176" name="Option Button 743">
              <controlPr defaultSize="0" autoFill="0" autoLine="0" autoPict="0">
                <anchor moveWithCells="1">
                  <from>
                    <xdr:col>0</xdr:col>
                    <xdr:colOff>628650</xdr:colOff>
                    <xdr:row>81</xdr:row>
                    <xdr:rowOff>171450</xdr:rowOff>
                  </from>
                  <to>
                    <xdr:col>1</xdr:col>
                    <xdr:colOff>38100</xdr:colOff>
                    <xdr:row>83</xdr:row>
                    <xdr:rowOff>28575</xdr:rowOff>
                  </to>
                </anchor>
              </controlPr>
            </control>
          </mc:Choice>
        </mc:AlternateContent>
        <mc:AlternateContent xmlns:mc="http://schemas.openxmlformats.org/markup-compatibility/2006">
          <mc:Choice Requires="x14">
            <control shapeId="1773" r:id="rId177" name="Option Button 749">
              <controlPr defaultSize="0" autoFill="0" autoLine="0" autoPict="0">
                <anchor moveWithCells="1">
                  <from>
                    <xdr:col>4</xdr:col>
                    <xdr:colOff>466725</xdr:colOff>
                    <xdr:row>129</xdr:row>
                    <xdr:rowOff>9525</xdr:rowOff>
                  </from>
                  <to>
                    <xdr:col>5</xdr:col>
                    <xdr:colOff>38100</xdr:colOff>
                    <xdr:row>130</xdr:row>
                    <xdr:rowOff>28575</xdr:rowOff>
                  </to>
                </anchor>
              </controlPr>
            </control>
          </mc:Choice>
        </mc:AlternateContent>
        <mc:AlternateContent xmlns:mc="http://schemas.openxmlformats.org/markup-compatibility/2006">
          <mc:Choice Requires="x14">
            <control shapeId="1775" r:id="rId178" name="Option Button 751">
              <controlPr defaultSize="0" autoFill="0" autoLine="0" autoPict="0">
                <anchor moveWithCells="1">
                  <from>
                    <xdr:col>4</xdr:col>
                    <xdr:colOff>476250</xdr:colOff>
                    <xdr:row>129</xdr:row>
                    <xdr:rowOff>190500</xdr:rowOff>
                  </from>
                  <to>
                    <xdr:col>5</xdr:col>
                    <xdr:colOff>47625</xdr:colOff>
                    <xdr:row>131</xdr:row>
                    <xdr:rowOff>19050</xdr:rowOff>
                  </to>
                </anchor>
              </controlPr>
            </control>
          </mc:Choice>
        </mc:AlternateContent>
        <mc:AlternateContent xmlns:mc="http://schemas.openxmlformats.org/markup-compatibility/2006">
          <mc:Choice Requires="x14">
            <control shapeId="1776" r:id="rId179" name="Option Button 752">
              <controlPr defaultSize="0" autoFill="0" autoLine="0" autoPict="0">
                <anchor moveWithCells="1">
                  <from>
                    <xdr:col>8</xdr:col>
                    <xdr:colOff>66675</xdr:colOff>
                    <xdr:row>128</xdr:row>
                    <xdr:rowOff>180975</xdr:rowOff>
                  </from>
                  <to>
                    <xdr:col>8</xdr:col>
                    <xdr:colOff>266700</xdr:colOff>
                    <xdr:row>130</xdr:row>
                    <xdr:rowOff>0</xdr:rowOff>
                  </to>
                </anchor>
              </controlPr>
            </control>
          </mc:Choice>
        </mc:AlternateContent>
        <mc:AlternateContent xmlns:mc="http://schemas.openxmlformats.org/markup-compatibility/2006">
          <mc:Choice Requires="x14">
            <control shapeId="1777" r:id="rId180" name="Group Box 753">
              <controlPr defaultSize="0" autoFill="0" autoPict="0">
                <anchor moveWithCells="1">
                  <from>
                    <xdr:col>0</xdr:col>
                    <xdr:colOff>314325</xdr:colOff>
                    <xdr:row>65</xdr:row>
                    <xdr:rowOff>161925</xdr:rowOff>
                  </from>
                  <to>
                    <xdr:col>9</xdr:col>
                    <xdr:colOff>485775</xdr:colOff>
                    <xdr:row>69</xdr:row>
                    <xdr:rowOff>180975</xdr:rowOff>
                  </to>
                </anchor>
              </controlPr>
            </control>
          </mc:Choice>
        </mc:AlternateContent>
        <mc:AlternateContent xmlns:mc="http://schemas.openxmlformats.org/markup-compatibility/2006">
          <mc:Choice Requires="x14">
            <control shapeId="1779" r:id="rId181" name="Option Button 755">
              <controlPr defaultSize="0" autoFill="0" autoLine="0" autoPict="0">
                <anchor moveWithCells="1">
                  <from>
                    <xdr:col>0</xdr:col>
                    <xdr:colOff>647700</xdr:colOff>
                    <xdr:row>68</xdr:row>
                    <xdr:rowOff>0</xdr:rowOff>
                  </from>
                  <to>
                    <xdr:col>1</xdr:col>
                    <xdr:colOff>66675</xdr:colOff>
                    <xdr:row>69</xdr:row>
                    <xdr:rowOff>19050</xdr:rowOff>
                  </to>
                </anchor>
              </controlPr>
            </control>
          </mc:Choice>
        </mc:AlternateContent>
        <mc:AlternateContent xmlns:mc="http://schemas.openxmlformats.org/markup-compatibility/2006">
          <mc:Choice Requires="x14">
            <control shapeId="1781" r:id="rId182" name="Option Button 757">
              <controlPr defaultSize="0" autoFill="0" autoLine="0" autoPict="0">
                <anchor moveWithCells="1">
                  <from>
                    <xdr:col>0</xdr:col>
                    <xdr:colOff>600075</xdr:colOff>
                    <xdr:row>90</xdr:row>
                    <xdr:rowOff>0</xdr:rowOff>
                  </from>
                  <to>
                    <xdr:col>1</xdr:col>
                    <xdr:colOff>0</xdr:colOff>
                    <xdr:row>91</xdr:row>
                    <xdr:rowOff>28575</xdr:rowOff>
                  </to>
                </anchor>
              </controlPr>
            </control>
          </mc:Choice>
        </mc:AlternateContent>
        <mc:AlternateContent xmlns:mc="http://schemas.openxmlformats.org/markup-compatibility/2006">
          <mc:Choice Requires="x14">
            <control shapeId="1782" r:id="rId183" name="Option Button 758">
              <controlPr defaultSize="0" autoFill="0" autoLine="0" autoPict="0">
                <anchor moveWithCells="1">
                  <from>
                    <xdr:col>0</xdr:col>
                    <xdr:colOff>600075</xdr:colOff>
                    <xdr:row>90</xdr:row>
                    <xdr:rowOff>180975</xdr:rowOff>
                  </from>
                  <to>
                    <xdr:col>1</xdr:col>
                    <xdr:colOff>0</xdr:colOff>
                    <xdr:row>92</xdr:row>
                    <xdr:rowOff>19050</xdr:rowOff>
                  </to>
                </anchor>
              </controlPr>
            </control>
          </mc:Choice>
        </mc:AlternateContent>
        <mc:AlternateContent xmlns:mc="http://schemas.openxmlformats.org/markup-compatibility/2006">
          <mc:Choice Requires="x14">
            <control shapeId="1783" r:id="rId184" name="Option Button 759">
              <controlPr defaultSize="0" autoFill="0" autoLine="0" autoPict="0">
                <anchor moveWithCells="1">
                  <from>
                    <xdr:col>0</xdr:col>
                    <xdr:colOff>600075</xdr:colOff>
                    <xdr:row>91</xdr:row>
                    <xdr:rowOff>171450</xdr:rowOff>
                  </from>
                  <to>
                    <xdr:col>1</xdr:col>
                    <xdr:colOff>0</xdr:colOff>
                    <xdr:row>93</xdr:row>
                    <xdr:rowOff>0</xdr:rowOff>
                  </to>
                </anchor>
              </controlPr>
            </control>
          </mc:Choice>
        </mc:AlternateContent>
        <mc:AlternateContent xmlns:mc="http://schemas.openxmlformats.org/markup-compatibility/2006">
          <mc:Choice Requires="x14">
            <control shapeId="1790" r:id="rId185" name="Option Button 766">
              <controlPr defaultSize="0" autoFill="0" autoLine="0" autoPict="0">
                <anchor moveWithCells="1">
                  <from>
                    <xdr:col>3</xdr:col>
                    <xdr:colOff>619125</xdr:colOff>
                    <xdr:row>91</xdr:row>
                    <xdr:rowOff>180975</xdr:rowOff>
                  </from>
                  <to>
                    <xdr:col>4</xdr:col>
                    <xdr:colOff>171450</xdr:colOff>
                    <xdr:row>93</xdr:row>
                    <xdr:rowOff>0</xdr:rowOff>
                  </to>
                </anchor>
              </controlPr>
            </control>
          </mc:Choice>
        </mc:AlternateContent>
        <mc:AlternateContent xmlns:mc="http://schemas.openxmlformats.org/markup-compatibility/2006">
          <mc:Choice Requires="x14">
            <control shapeId="1792" r:id="rId186" name="Option Button 768">
              <controlPr defaultSize="0" autoFill="0" autoLine="0" autoPict="0">
                <anchor moveWithCells="1">
                  <from>
                    <xdr:col>3</xdr:col>
                    <xdr:colOff>619125</xdr:colOff>
                    <xdr:row>92</xdr:row>
                    <xdr:rowOff>180975</xdr:rowOff>
                  </from>
                  <to>
                    <xdr:col>4</xdr:col>
                    <xdr:colOff>171450</xdr:colOff>
                    <xdr:row>94</xdr:row>
                    <xdr:rowOff>0</xdr:rowOff>
                  </to>
                </anchor>
              </controlPr>
            </control>
          </mc:Choice>
        </mc:AlternateContent>
        <mc:AlternateContent xmlns:mc="http://schemas.openxmlformats.org/markup-compatibility/2006">
          <mc:Choice Requires="x14">
            <control shapeId="1794" r:id="rId187" name="Option Button 770">
              <controlPr defaultSize="0" autoFill="0" autoLine="0" autoPict="0">
                <anchor moveWithCells="1">
                  <from>
                    <xdr:col>3</xdr:col>
                    <xdr:colOff>619125</xdr:colOff>
                    <xdr:row>93</xdr:row>
                    <xdr:rowOff>180975</xdr:rowOff>
                  </from>
                  <to>
                    <xdr:col>4</xdr:col>
                    <xdr:colOff>171450</xdr:colOff>
                    <xdr:row>95</xdr:row>
                    <xdr:rowOff>9525</xdr:rowOff>
                  </to>
                </anchor>
              </controlPr>
            </control>
          </mc:Choice>
        </mc:AlternateContent>
        <mc:AlternateContent xmlns:mc="http://schemas.openxmlformats.org/markup-compatibility/2006">
          <mc:Choice Requires="x14">
            <control shapeId="1796" r:id="rId188" name="Option Button 772">
              <controlPr defaultSize="0" autoFill="0" autoLine="0" autoPict="0">
                <anchor moveWithCells="1">
                  <from>
                    <xdr:col>3</xdr:col>
                    <xdr:colOff>619125</xdr:colOff>
                    <xdr:row>94</xdr:row>
                    <xdr:rowOff>180975</xdr:rowOff>
                  </from>
                  <to>
                    <xdr:col>4</xdr:col>
                    <xdr:colOff>171450</xdr:colOff>
                    <xdr:row>96</xdr:row>
                    <xdr:rowOff>9525</xdr:rowOff>
                  </to>
                </anchor>
              </controlPr>
            </control>
          </mc:Choice>
        </mc:AlternateContent>
        <mc:AlternateContent xmlns:mc="http://schemas.openxmlformats.org/markup-compatibility/2006">
          <mc:Choice Requires="x14">
            <control shapeId="1797" r:id="rId189" name="Option Button 773">
              <controlPr defaultSize="0" autoFill="0" autoLine="0" autoPict="0">
                <anchor moveWithCells="1">
                  <from>
                    <xdr:col>3</xdr:col>
                    <xdr:colOff>619125</xdr:colOff>
                    <xdr:row>94</xdr:row>
                    <xdr:rowOff>180975</xdr:rowOff>
                  </from>
                  <to>
                    <xdr:col>4</xdr:col>
                    <xdr:colOff>171450</xdr:colOff>
                    <xdr:row>96</xdr:row>
                    <xdr:rowOff>9525</xdr:rowOff>
                  </to>
                </anchor>
              </controlPr>
            </control>
          </mc:Choice>
        </mc:AlternateContent>
        <mc:AlternateContent xmlns:mc="http://schemas.openxmlformats.org/markup-compatibility/2006">
          <mc:Choice Requires="x14">
            <control shapeId="1800" r:id="rId190" name="Option Button 776">
              <controlPr defaultSize="0" autoFill="0" autoLine="0" autoPict="0">
                <anchor moveWithCells="1">
                  <from>
                    <xdr:col>0</xdr:col>
                    <xdr:colOff>600075</xdr:colOff>
                    <xdr:row>89</xdr:row>
                    <xdr:rowOff>9525</xdr:rowOff>
                  </from>
                  <to>
                    <xdr:col>0</xdr:col>
                    <xdr:colOff>809625</xdr:colOff>
                    <xdr:row>90</xdr:row>
                    <xdr:rowOff>38100</xdr:rowOff>
                  </to>
                </anchor>
              </controlPr>
            </control>
          </mc:Choice>
        </mc:AlternateContent>
        <mc:AlternateContent xmlns:mc="http://schemas.openxmlformats.org/markup-compatibility/2006">
          <mc:Choice Requires="x14">
            <control shapeId="1801" r:id="rId191" name="Group Box 777">
              <controlPr defaultSize="0" autoFill="0" autoPict="0">
                <anchor moveWithCells="1">
                  <from>
                    <xdr:col>0</xdr:col>
                    <xdr:colOff>390525</xdr:colOff>
                    <xdr:row>88</xdr:row>
                    <xdr:rowOff>66675</xdr:rowOff>
                  </from>
                  <to>
                    <xdr:col>10</xdr:col>
                    <xdr:colOff>676275</xdr:colOff>
                    <xdr:row>102</xdr:row>
                    <xdr:rowOff>95250</xdr:rowOff>
                  </to>
                </anchor>
              </controlPr>
            </control>
          </mc:Choice>
        </mc:AlternateContent>
        <mc:AlternateContent xmlns:mc="http://schemas.openxmlformats.org/markup-compatibility/2006">
          <mc:Choice Requires="x14">
            <control shapeId="1802" r:id="rId192" name="Option Button 778">
              <controlPr defaultSize="0" autoFill="0" autoLine="0" autoPict="0">
                <anchor moveWithCells="1">
                  <from>
                    <xdr:col>3</xdr:col>
                    <xdr:colOff>619125</xdr:colOff>
                    <xdr:row>94</xdr:row>
                    <xdr:rowOff>180975</xdr:rowOff>
                  </from>
                  <to>
                    <xdr:col>4</xdr:col>
                    <xdr:colOff>171450</xdr:colOff>
                    <xdr:row>96</xdr:row>
                    <xdr:rowOff>9525</xdr:rowOff>
                  </to>
                </anchor>
              </controlPr>
            </control>
          </mc:Choice>
        </mc:AlternateContent>
        <mc:AlternateContent xmlns:mc="http://schemas.openxmlformats.org/markup-compatibility/2006">
          <mc:Choice Requires="x14">
            <control shapeId="1804" r:id="rId193" name="Option Button 780">
              <controlPr defaultSize="0" autoFill="0" autoLine="0" autoPict="0">
                <anchor moveWithCells="1">
                  <from>
                    <xdr:col>3</xdr:col>
                    <xdr:colOff>619125</xdr:colOff>
                    <xdr:row>95</xdr:row>
                    <xdr:rowOff>180975</xdr:rowOff>
                  </from>
                  <to>
                    <xdr:col>4</xdr:col>
                    <xdr:colOff>171450</xdr:colOff>
                    <xdr:row>97</xdr:row>
                    <xdr:rowOff>9525</xdr:rowOff>
                  </to>
                </anchor>
              </controlPr>
            </control>
          </mc:Choice>
        </mc:AlternateContent>
        <mc:AlternateContent xmlns:mc="http://schemas.openxmlformats.org/markup-compatibility/2006">
          <mc:Choice Requires="x14">
            <control shapeId="1805" r:id="rId194" name="Option Button 781">
              <controlPr defaultSize="0" autoFill="0" autoLine="0" autoPict="0">
                <anchor moveWithCells="1">
                  <from>
                    <xdr:col>3</xdr:col>
                    <xdr:colOff>619125</xdr:colOff>
                    <xdr:row>95</xdr:row>
                    <xdr:rowOff>180975</xdr:rowOff>
                  </from>
                  <to>
                    <xdr:col>4</xdr:col>
                    <xdr:colOff>171450</xdr:colOff>
                    <xdr:row>97</xdr:row>
                    <xdr:rowOff>9525</xdr:rowOff>
                  </to>
                </anchor>
              </controlPr>
            </control>
          </mc:Choice>
        </mc:AlternateContent>
        <mc:AlternateContent xmlns:mc="http://schemas.openxmlformats.org/markup-compatibility/2006">
          <mc:Choice Requires="x14">
            <control shapeId="1806" r:id="rId195" name="Option Button 782">
              <controlPr defaultSize="0" autoFill="0" autoLine="0" autoPict="0">
                <anchor moveWithCells="1">
                  <from>
                    <xdr:col>3</xdr:col>
                    <xdr:colOff>619125</xdr:colOff>
                    <xdr:row>95</xdr:row>
                    <xdr:rowOff>180975</xdr:rowOff>
                  </from>
                  <to>
                    <xdr:col>4</xdr:col>
                    <xdr:colOff>171450</xdr:colOff>
                    <xdr:row>97</xdr:row>
                    <xdr:rowOff>9525</xdr:rowOff>
                  </to>
                </anchor>
              </controlPr>
            </control>
          </mc:Choice>
        </mc:AlternateContent>
        <mc:AlternateContent xmlns:mc="http://schemas.openxmlformats.org/markup-compatibility/2006">
          <mc:Choice Requires="x14">
            <control shapeId="1808" r:id="rId196" name="Option Button 784">
              <controlPr defaultSize="0" autoFill="0" autoLine="0" autoPict="0">
                <anchor moveWithCells="1">
                  <from>
                    <xdr:col>3</xdr:col>
                    <xdr:colOff>619125</xdr:colOff>
                    <xdr:row>96</xdr:row>
                    <xdr:rowOff>180975</xdr:rowOff>
                  </from>
                  <to>
                    <xdr:col>4</xdr:col>
                    <xdr:colOff>171450</xdr:colOff>
                    <xdr:row>98</xdr:row>
                    <xdr:rowOff>9525</xdr:rowOff>
                  </to>
                </anchor>
              </controlPr>
            </control>
          </mc:Choice>
        </mc:AlternateContent>
        <mc:AlternateContent xmlns:mc="http://schemas.openxmlformats.org/markup-compatibility/2006">
          <mc:Choice Requires="x14">
            <control shapeId="1809" r:id="rId197" name="Option Button 785">
              <controlPr defaultSize="0" autoFill="0" autoLine="0" autoPict="0">
                <anchor moveWithCells="1">
                  <from>
                    <xdr:col>3</xdr:col>
                    <xdr:colOff>619125</xdr:colOff>
                    <xdr:row>96</xdr:row>
                    <xdr:rowOff>180975</xdr:rowOff>
                  </from>
                  <to>
                    <xdr:col>4</xdr:col>
                    <xdr:colOff>171450</xdr:colOff>
                    <xdr:row>98</xdr:row>
                    <xdr:rowOff>9525</xdr:rowOff>
                  </to>
                </anchor>
              </controlPr>
            </control>
          </mc:Choice>
        </mc:AlternateContent>
        <mc:AlternateContent xmlns:mc="http://schemas.openxmlformats.org/markup-compatibility/2006">
          <mc:Choice Requires="x14">
            <control shapeId="1810" r:id="rId198" name="Option Button 786">
              <controlPr defaultSize="0" autoFill="0" autoLine="0" autoPict="0">
                <anchor moveWithCells="1">
                  <from>
                    <xdr:col>3</xdr:col>
                    <xdr:colOff>619125</xdr:colOff>
                    <xdr:row>96</xdr:row>
                    <xdr:rowOff>180975</xdr:rowOff>
                  </from>
                  <to>
                    <xdr:col>4</xdr:col>
                    <xdr:colOff>171450</xdr:colOff>
                    <xdr:row>98</xdr:row>
                    <xdr:rowOff>9525</xdr:rowOff>
                  </to>
                </anchor>
              </controlPr>
            </control>
          </mc:Choice>
        </mc:AlternateContent>
        <mc:AlternateContent xmlns:mc="http://schemas.openxmlformats.org/markup-compatibility/2006">
          <mc:Choice Requires="x14">
            <control shapeId="1812" r:id="rId199" name="Option Button 788">
              <controlPr defaultSize="0" autoFill="0" autoLine="0" autoPict="0">
                <anchor moveWithCells="1">
                  <from>
                    <xdr:col>3</xdr:col>
                    <xdr:colOff>619125</xdr:colOff>
                    <xdr:row>97</xdr:row>
                    <xdr:rowOff>180975</xdr:rowOff>
                  </from>
                  <to>
                    <xdr:col>4</xdr:col>
                    <xdr:colOff>171450</xdr:colOff>
                    <xdr:row>99</xdr:row>
                    <xdr:rowOff>0</xdr:rowOff>
                  </to>
                </anchor>
              </controlPr>
            </control>
          </mc:Choice>
        </mc:AlternateContent>
        <mc:AlternateContent xmlns:mc="http://schemas.openxmlformats.org/markup-compatibility/2006">
          <mc:Choice Requires="x14">
            <control shapeId="1813" r:id="rId200" name="Option Button 789">
              <controlPr defaultSize="0" autoFill="0" autoLine="0" autoPict="0">
                <anchor moveWithCells="1">
                  <from>
                    <xdr:col>3</xdr:col>
                    <xdr:colOff>619125</xdr:colOff>
                    <xdr:row>97</xdr:row>
                    <xdr:rowOff>180975</xdr:rowOff>
                  </from>
                  <to>
                    <xdr:col>4</xdr:col>
                    <xdr:colOff>171450</xdr:colOff>
                    <xdr:row>99</xdr:row>
                    <xdr:rowOff>0</xdr:rowOff>
                  </to>
                </anchor>
              </controlPr>
            </control>
          </mc:Choice>
        </mc:AlternateContent>
        <mc:AlternateContent xmlns:mc="http://schemas.openxmlformats.org/markup-compatibility/2006">
          <mc:Choice Requires="x14">
            <control shapeId="1814" r:id="rId201" name="Option Button 790">
              <controlPr defaultSize="0" autoFill="0" autoLine="0" autoPict="0">
                <anchor moveWithCells="1">
                  <from>
                    <xdr:col>3</xdr:col>
                    <xdr:colOff>619125</xdr:colOff>
                    <xdr:row>97</xdr:row>
                    <xdr:rowOff>180975</xdr:rowOff>
                  </from>
                  <to>
                    <xdr:col>4</xdr:col>
                    <xdr:colOff>171450</xdr:colOff>
                    <xdr:row>99</xdr:row>
                    <xdr:rowOff>0</xdr:rowOff>
                  </to>
                </anchor>
              </controlPr>
            </control>
          </mc:Choice>
        </mc:AlternateContent>
        <mc:AlternateContent xmlns:mc="http://schemas.openxmlformats.org/markup-compatibility/2006">
          <mc:Choice Requires="x14">
            <control shapeId="1815" r:id="rId202" name="Option Button 791">
              <controlPr defaultSize="0" autoFill="0" autoLine="0" autoPict="0">
                <anchor moveWithCells="1">
                  <from>
                    <xdr:col>3</xdr:col>
                    <xdr:colOff>619125</xdr:colOff>
                    <xdr:row>97</xdr:row>
                    <xdr:rowOff>180975</xdr:rowOff>
                  </from>
                  <to>
                    <xdr:col>4</xdr:col>
                    <xdr:colOff>171450</xdr:colOff>
                    <xdr:row>99</xdr:row>
                    <xdr:rowOff>0</xdr:rowOff>
                  </to>
                </anchor>
              </controlPr>
            </control>
          </mc:Choice>
        </mc:AlternateContent>
        <mc:AlternateContent xmlns:mc="http://schemas.openxmlformats.org/markup-compatibility/2006">
          <mc:Choice Requires="x14">
            <control shapeId="1816" r:id="rId203" name="Option Button 792">
              <controlPr defaultSize="0" autoFill="0" autoLine="0" autoPict="0">
                <anchor moveWithCells="1">
                  <from>
                    <xdr:col>3</xdr:col>
                    <xdr:colOff>619125</xdr:colOff>
                    <xdr:row>97</xdr:row>
                    <xdr:rowOff>180975</xdr:rowOff>
                  </from>
                  <to>
                    <xdr:col>4</xdr:col>
                    <xdr:colOff>171450</xdr:colOff>
                    <xdr:row>99</xdr:row>
                    <xdr:rowOff>0</xdr:rowOff>
                  </to>
                </anchor>
              </controlPr>
            </control>
          </mc:Choice>
        </mc:AlternateContent>
        <mc:AlternateContent xmlns:mc="http://schemas.openxmlformats.org/markup-compatibility/2006">
          <mc:Choice Requires="x14">
            <control shapeId="1817" r:id="rId204" name="Option Button 793">
              <controlPr defaultSize="0" autoFill="0" autoLine="0" autoPict="0">
                <anchor moveWithCells="1">
                  <from>
                    <xdr:col>3</xdr:col>
                    <xdr:colOff>619125</xdr:colOff>
                    <xdr:row>97</xdr:row>
                    <xdr:rowOff>180975</xdr:rowOff>
                  </from>
                  <to>
                    <xdr:col>4</xdr:col>
                    <xdr:colOff>171450</xdr:colOff>
                    <xdr:row>99</xdr:row>
                    <xdr:rowOff>0</xdr:rowOff>
                  </to>
                </anchor>
              </controlPr>
            </control>
          </mc:Choice>
        </mc:AlternateContent>
        <mc:AlternateContent xmlns:mc="http://schemas.openxmlformats.org/markup-compatibility/2006">
          <mc:Choice Requires="x14">
            <control shapeId="1818" r:id="rId205" name="Option Button 794">
              <controlPr defaultSize="0" autoFill="0" autoLine="0" autoPict="0">
                <anchor moveWithCells="1">
                  <from>
                    <xdr:col>3</xdr:col>
                    <xdr:colOff>619125</xdr:colOff>
                    <xdr:row>97</xdr:row>
                    <xdr:rowOff>180975</xdr:rowOff>
                  </from>
                  <to>
                    <xdr:col>4</xdr:col>
                    <xdr:colOff>171450</xdr:colOff>
                    <xdr:row>99</xdr:row>
                    <xdr:rowOff>0</xdr:rowOff>
                  </to>
                </anchor>
              </controlPr>
            </control>
          </mc:Choice>
        </mc:AlternateContent>
        <mc:AlternateContent xmlns:mc="http://schemas.openxmlformats.org/markup-compatibility/2006">
          <mc:Choice Requires="x14">
            <control shapeId="1820" r:id="rId206" name="Option Button 796">
              <controlPr defaultSize="0" autoFill="0" autoLine="0" autoPict="0">
                <anchor moveWithCells="1">
                  <from>
                    <xdr:col>3</xdr:col>
                    <xdr:colOff>619125</xdr:colOff>
                    <xdr:row>98</xdr:row>
                    <xdr:rowOff>180975</xdr:rowOff>
                  </from>
                  <to>
                    <xdr:col>4</xdr:col>
                    <xdr:colOff>171450</xdr:colOff>
                    <xdr:row>100</xdr:row>
                    <xdr:rowOff>0</xdr:rowOff>
                  </to>
                </anchor>
              </controlPr>
            </control>
          </mc:Choice>
        </mc:AlternateContent>
        <mc:AlternateContent xmlns:mc="http://schemas.openxmlformats.org/markup-compatibility/2006">
          <mc:Choice Requires="x14">
            <control shapeId="1821" r:id="rId207" name="Option Button 797">
              <controlPr defaultSize="0" autoFill="0" autoLine="0" autoPict="0">
                <anchor moveWithCells="1">
                  <from>
                    <xdr:col>3</xdr:col>
                    <xdr:colOff>619125</xdr:colOff>
                    <xdr:row>98</xdr:row>
                    <xdr:rowOff>180975</xdr:rowOff>
                  </from>
                  <to>
                    <xdr:col>4</xdr:col>
                    <xdr:colOff>171450</xdr:colOff>
                    <xdr:row>100</xdr:row>
                    <xdr:rowOff>0</xdr:rowOff>
                  </to>
                </anchor>
              </controlPr>
            </control>
          </mc:Choice>
        </mc:AlternateContent>
        <mc:AlternateContent xmlns:mc="http://schemas.openxmlformats.org/markup-compatibility/2006">
          <mc:Choice Requires="x14">
            <control shapeId="1822" r:id="rId208" name="Option Button 798">
              <controlPr defaultSize="0" autoFill="0" autoLine="0" autoPict="0">
                <anchor moveWithCells="1">
                  <from>
                    <xdr:col>3</xdr:col>
                    <xdr:colOff>619125</xdr:colOff>
                    <xdr:row>98</xdr:row>
                    <xdr:rowOff>180975</xdr:rowOff>
                  </from>
                  <to>
                    <xdr:col>4</xdr:col>
                    <xdr:colOff>171450</xdr:colOff>
                    <xdr:row>100</xdr:row>
                    <xdr:rowOff>0</xdr:rowOff>
                  </to>
                </anchor>
              </controlPr>
            </control>
          </mc:Choice>
        </mc:AlternateContent>
        <mc:AlternateContent xmlns:mc="http://schemas.openxmlformats.org/markup-compatibility/2006">
          <mc:Choice Requires="x14">
            <control shapeId="1823" r:id="rId209" name="Option Button 799">
              <controlPr defaultSize="0" autoFill="0" autoLine="0" autoPict="0">
                <anchor moveWithCells="1">
                  <from>
                    <xdr:col>3</xdr:col>
                    <xdr:colOff>619125</xdr:colOff>
                    <xdr:row>98</xdr:row>
                    <xdr:rowOff>180975</xdr:rowOff>
                  </from>
                  <to>
                    <xdr:col>4</xdr:col>
                    <xdr:colOff>171450</xdr:colOff>
                    <xdr:row>100</xdr:row>
                    <xdr:rowOff>0</xdr:rowOff>
                  </to>
                </anchor>
              </controlPr>
            </control>
          </mc:Choice>
        </mc:AlternateContent>
        <mc:AlternateContent xmlns:mc="http://schemas.openxmlformats.org/markup-compatibility/2006">
          <mc:Choice Requires="x14">
            <control shapeId="1824" r:id="rId210" name="Option Button 800">
              <controlPr defaultSize="0" autoFill="0" autoLine="0" autoPict="0">
                <anchor moveWithCells="1">
                  <from>
                    <xdr:col>3</xdr:col>
                    <xdr:colOff>619125</xdr:colOff>
                    <xdr:row>98</xdr:row>
                    <xdr:rowOff>180975</xdr:rowOff>
                  </from>
                  <to>
                    <xdr:col>4</xdr:col>
                    <xdr:colOff>171450</xdr:colOff>
                    <xdr:row>100</xdr:row>
                    <xdr:rowOff>0</xdr:rowOff>
                  </to>
                </anchor>
              </controlPr>
            </control>
          </mc:Choice>
        </mc:AlternateContent>
        <mc:AlternateContent xmlns:mc="http://schemas.openxmlformats.org/markup-compatibility/2006">
          <mc:Choice Requires="x14">
            <control shapeId="1825" r:id="rId211" name="Option Button 801">
              <controlPr defaultSize="0" autoFill="0" autoLine="0" autoPict="0">
                <anchor moveWithCells="1">
                  <from>
                    <xdr:col>3</xdr:col>
                    <xdr:colOff>619125</xdr:colOff>
                    <xdr:row>98</xdr:row>
                    <xdr:rowOff>180975</xdr:rowOff>
                  </from>
                  <to>
                    <xdr:col>4</xdr:col>
                    <xdr:colOff>171450</xdr:colOff>
                    <xdr:row>100</xdr:row>
                    <xdr:rowOff>0</xdr:rowOff>
                  </to>
                </anchor>
              </controlPr>
            </control>
          </mc:Choice>
        </mc:AlternateContent>
        <mc:AlternateContent xmlns:mc="http://schemas.openxmlformats.org/markup-compatibility/2006">
          <mc:Choice Requires="x14">
            <control shapeId="1826" r:id="rId212" name="Option Button 802">
              <controlPr defaultSize="0" autoFill="0" autoLine="0" autoPict="0">
                <anchor moveWithCells="1">
                  <from>
                    <xdr:col>3</xdr:col>
                    <xdr:colOff>619125</xdr:colOff>
                    <xdr:row>98</xdr:row>
                    <xdr:rowOff>180975</xdr:rowOff>
                  </from>
                  <to>
                    <xdr:col>4</xdr:col>
                    <xdr:colOff>171450</xdr:colOff>
                    <xdr:row>100</xdr:row>
                    <xdr:rowOff>0</xdr:rowOff>
                  </to>
                </anchor>
              </controlPr>
            </control>
          </mc:Choice>
        </mc:AlternateContent>
        <mc:AlternateContent xmlns:mc="http://schemas.openxmlformats.org/markup-compatibility/2006">
          <mc:Choice Requires="x14">
            <control shapeId="1833" r:id="rId213" name="Check Box 809">
              <controlPr defaultSize="0" autoFill="0" autoLine="0" autoPict="0">
                <anchor moveWithCells="1">
                  <from>
                    <xdr:col>4</xdr:col>
                    <xdr:colOff>571500</xdr:colOff>
                    <xdr:row>136</xdr:row>
                    <xdr:rowOff>180975</xdr:rowOff>
                  </from>
                  <to>
                    <xdr:col>5</xdr:col>
                    <xdr:colOff>161925</xdr:colOff>
                    <xdr:row>138</xdr:row>
                    <xdr:rowOff>0</xdr:rowOff>
                  </to>
                </anchor>
              </controlPr>
            </control>
          </mc:Choice>
        </mc:AlternateContent>
        <mc:AlternateContent xmlns:mc="http://schemas.openxmlformats.org/markup-compatibility/2006">
          <mc:Choice Requires="x14">
            <control shapeId="1845" r:id="rId214" name="Option Button 821">
              <controlPr defaultSize="0" autoFill="0" autoLine="0" autoPict="0">
                <anchor moveWithCells="1">
                  <from>
                    <xdr:col>0</xdr:col>
                    <xdr:colOff>600075</xdr:colOff>
                    <xdr:row>14</xdr:row>
                    <xdr:rowOff>180975</xdr:rowOff>
                  </from>
                  <to>
                    <xdr:col>1</xdr:col>
                    <xdr:colOff>19050</xdr:colOff>
                    <xdr:row>16</xdr:row>
                    <xdr:rowOff>19050</xdr:rowOff>
                  </to>
                </anchor>
              </controlPr>
            </control>
          </mc:Choice>
        </mc:AlternateContent>
        <mc:AlternateContent xmlns:mc="http://schemas.openxmlformats.org/markup-compatibility/2006">
          <mc:Choice Requires="x14">
            <control shapeId="1848" r:id="rId215" name="Option Button 824">
              <controlPr defaultSize="0" autoFill="0" autoLine="0" autoPict="0">
                <anchor moveWithCells="1">
                  <from>
                    <xdr:col>0</xdr:col>
                    <xdr:colOff>600075</xdr:colOff>
                    <xdr:row>16</xdr:row>
                    <xdr:rowOff>180975</xdr:rowOff>
                  </from>
                  <to>
                    <xdr:col>1</xdr:col>
                    <xdr:colOff>19050</xdr:colOff>
                    <xdr:row>18</xdr:row>
                    <xdr:rowOff>19050</xdr:rowOff>
                  </to>
                </anchor>
              </controlPr>
            </control>
          </mc:Choice>
        </mc:AlternateContent>
        <mc:AlternateContent xmlns:mc="http://schemas.openxmlformats.org/markup-compatibility/2006">
          <mc:Choice Requires="x14">
            <control shapeId="1849" r:id="rId216" name="Option Button 825">
              <controlPr defaultSize="0" autoFill="0" autoLine="0" autoPict="0">
                <anchor moveWithCells="1">
                  <from>
                    <xdr:col>0</xdr:col>
                    <xdr:colOff>600075</xdr:colOff>
                    <xdr:row>17</xdr:row>
                    <xdr:rowOff>180975</xdr:rowOff>
                  </from>
                  <to>
                    <xdr:col>1</xdr:col>
                    <xdr:colOff>19050</xdr:colOff>
                    <xdr:row>19</xdr:row>
                    <xdr:rowOff>19050</xdr:rowOff>
                  </to>
                </anchor>
              </controlPr>
            </control>
          </mc:Choice>
        </mc:AlternateContent>
        <mc:AlternateContent xmlns:mc="http://schemas.openxmlformats.org/markup-compatibility/2006">
          <mc:Choice Requires="x14">
            <control shapeId="1850" r:id="rId217" name="Option Button 826">
              <controlPr defaultSize="0" autoFill="0" autoLine="0" autoPict="0">
                <anchor moveWithCells="1">
                  <from>
                    <xdr:col>0</xdr:col>
                    <xdr:colOff>600075</xdr:colOff>
                    <xdr:row>18</xdr:row>
                    <xdr:rowOff>180975</xdr:rowOff>
                  </from>
                  <to>
                    <xdr:col>1</xdr:col>
                    <xdr:colOff>19050</xdr:colOff>
                    <xdr:row>20</xdr:row>
                    <xdr:rowOff>19050</xdr:rowOff>
                  </to>
                </anchor>
              </controlPr>
            </control>
          </mc:Choice>
        </mc:AlternateContent>
        <mc:AlternateContent xmlns:mc="http://schemas.openxmlformats.org/markup-compatibility/2006">
          <mc:Choice Requires="x14">
            <control shapeId="1853" r:id="rId218" name="Option Button 829">
              <controlPr defaultSize="0" autoFill="0" autoLine="0" autoPict="0">
                <anchor moveWithCells="1">
                  <from>
                    <xdr:col>0</xdr:col>
                    <xdr:colOff>600075</xdr:colOff>
                    <xdr:row>16</xdr:row>
                    <xdr:rowOff>0</xdr:rowOff>
                  </from>
                  <to>
                    <xdr:col>1</xdr:col>
                    <xdr:colOff>28575</xdr:colOff>
                    <xdr:row>17</xdr:row>
                    <xdr:rowOff>38100</xdr:rowOff>
                  </to>
                </anchor>
              </controlPr>
            </control>
          </mc:Choice>
        </mc:AlternateContent>
        <mc:AlternateContent xmlns:mc="http://schemas.openxmlformats.org/markup-compatibility/2006">
          <mc:Choice Requires="x14">
            <control shapeId="1857" r:id="rId219" name="Option Button 833">
              <controlPr defaultSize="0" autoFill="0" autoLine="0" autoPict="0">
                <anchor moveWithCells="1">
                  <from>
                    <xdr:col>0</xdr:col>
                    <xdr:colOff>600075</xdr:colOff>
                    <xdr:row>20</xdr:row>
                    <xdr:rowOff>0</xdr:rowOff>
                  </from>
                  <to>
                    <xdr:col>1</xdr:col>
                    <xdr:colOff>19050</xdr:colOff>
                    <xdr:row>21</xdr:row>
                    <xdr:rowOff>28575</xdr:rowOff>
                  </to>
                </anchor>
              </controlPr>
            </control>
          </mc:Choice>
        </mc:AlternateContent>
        <mc:AlternateContent xmlns:mc="http://schemas.openxmlformats.org/markup-compatibility/2006">
          <mc:Choice Requires="x14">
            <control shapeId="1858" r:id="rId220" name="Option Button 834">
              <controlPr defaultSize="0" autoFill="0" autoLine="0" autoPict="0">
                <anchor moveWithCells="1">
                  <from>
                    <xdr:col>0</xdr:col>
                    <xdr:colOff>600075</xdr:colOff>
                    <xdr:row>20</xdr:row>
                    <xdr:rowOff>161925</xdr:rowOff>
                  </from>
                  <to>
                    <xdr:col>1</xdr:col>
                    <xdr:colOff>0</xdr:colOff>
                    <xdr:row>22</xdr:row>
                    <xdr:rowOff>0</xdr:rowOff>
                  </to>
                </anchor>
              </controlPr>
            </control>
          </mc:Choice>
        </mc:AlternateContent>
        <mc:AlternateContent xmlns:mc="http://schemas.openxmlformats.org/markup-compatibility/2006">
          <mc:Choice Requires="x14">
            <control shapeId="1861" r:id="rId221" name="Option Button 837">
              <controlPr defaultSize="0" autoFill="0" autoLine="0" autoPict="0">
                <anchor moveWithCells="1">
                  <from>
                    <xdr:col>7</xdr:col>
                    <xdr:colOff>561975</xdr:colOff>
                    <xdr:row>33</xdr:row>
                    <xdr:rowOff>171450</xdr:rowOff>
                  </from>
                  <to>
                    <xdr:col>8</xdr:col>
                    <xdr:colOff>114300</xdr:colOff>
                    <xdr:row>35</xdr:row>
                    <xdr:rowOff>9525</xdr:rowOff>
                  </to>
                </anchor>
              </controlPr>
            </control>
          </mc:Choice>
        </mc:AlternateContent>
        <mc:AlternateContent xmlns:mc="http://schemas.openxmlformats.org/markup-compatibility/2006">
          <mc:Choice Requires="x14">
            <control shapeId="1864" r:id="rId222" name="Option Button 840">
              <controlPr defaultSize="0" autoFill="0" autoLine="0" autoPict="0">
                <anchor moveWithCells="1">
                  <from>
                    <xdr:col>5</xdr:col>
                    <xdr:colOff>552450</xdr:colOff>
                    <xdr:row>33</xdr:row>
                    <xdr:rowOff>180975</xdr:rowOff>
                  </from>
                  <to>
                    <xdr:col>6</xdr:col>
                    <xdr:colOff>114300</xdr:colOff>
                    <xdr:row>35</xdr:row>
                    <xdr:rowOff>19050</xdr:rowOff>
                  </to>
                </anchor>
              </controlPr>
            </control>
          </mc:Choice>
        </mc:AlternateContent>
        <mc:AlternateContent xmlns:mc="http://schemas.openxmlformats.org/markup-compatibility/2006">
          <mc:Choice Requires="x14">
            <control shapeId="1865" r:id="rId223" name="Option Button 841">
              <controlPr defaultSize="0" autoFill="0" autoLine="0" autoPict="0">
                <anchor moveWithCells="1">
                  <from>
                    <xdr:col>8</xdr:col>
                    <xdr:colOff>542925</xdr:colOff>
                    <xdr:row>34</xdr:row>
                    <xdr:rowOff>0</xdr:rowOff>
                  </from>
                  <to>
                    <xdr:col>9</xdr:col>
                    <xdr:colOff>38100</xdr:colOff>
                    <xdr:row>35</xdr:row>
                    <xdr:rowOff>28575</xdr:rowOff>
                  </to>
                </anchor>
              </controlPr>
            </control>
          </mc:Choice>
        </mc:AlternateContent>
        <mc:AlternateContent xmlns:mc="http://schemas.openxmlformats.org/markup-compatibility/2006">
          <mc:Choice Requires="x14">
            <control shapeId="1866" r:id="rId224" name="Option Button 842">
              <controlPr defaultSize="0" autoFill="0" autoLine="0" autoPict="0">
                <anchor moveWithCells="1">
                  <from>
                    <xdr:col>3</xdr:col>
                    <xdr:colOff>609600</xdr:colOff>
                    <xdr:row>46</xdr:row>
                    <xdr:rowOff>161925</xdr:rowOff>
                  </from>
                  <to>
                    <xdr:col>4</xdr:col>
                    <xdr:colOff>200025</xdr:colOff>
                    <xdr:row>48</xdr:row>
                    <xdr:rowOff>9525</xdr:rowOff>
                  </to>
                </anchor>
              </controlPr>
            </control>
          </mc:Choice>
        </mc:AlternateContent>
        <mc:AlternateContent xmlns:mc="http://schemas.openxmlformats.org/markup-compatibility/2006">
          <mc:Choice Requires="x14">
            <control shapeId="1867" r:id="rId225" name="Group Box 843">
              <controlPr defaultSize="0" autoFill="0" autoPict="0">
                <anchor moveWithCells="1">
                  <from>
                    <xdr:col>0</xdr:col>
                    <xdr:colOff>219075</xdr:colOff>
                    <xdr:row>26</xdr:row>
                    <xdr:rowOff>123825</xdr:rowOff>
                  </from>
                  <to>
                    <xdr:col>8</xdr:col>
                    <xdr:colOff>38100</xdr:colOff>
                    <xdr:row>31</xdr:row>
                    <xdr:rowOff>38100</xdr:rowOff>
                  </to>
                </anchor>
              </controlPr>
            </control>
          </mc:Choice>
        </mc:AlternateContent>
        <mc:AlternateContent xmlns:mc="http://schemas.openxmlformats.org/markup-compatibility/2006">
          <mc:Choice Requires="x14">
            <control shapeId="1869" r:id="rId226" name="Group Box 845">
              <controlPr defaultSize="0" autoFill="0" autoPict="0">
                <anchor moveWithCells="1">
                  <from>
                    <xdr:col>0</xdr:col>
                    <xdr:colOff>238125</xdr:colOff>
                    <xdr:row>33</xdr:row>
                    <xdr:rowOff>171450</xdr:rowOff>
                  </from>
                  <to>
                    <xdr:col>10</xdr:col>
                    <xdr:colOff>381000</xdr:colOff>
                    <xdr:row>37</xdr:row>
                    <xdr:rowOff>104775</xdr:rowOff>
                  </to>
                </anchor>
              </controlPr>
            </control>
          </mc:Choice>
        </mc:AlternateContent>
        <mc:AlternateContent xmlns:mc="http://schemas.openxmlformats.org/markup-compatibility/2006">
          <mc:Choice Requires="x14">
            <control shapeId="1870" r:id="rId227" name="Option Button 846">
              <controlPr defaultSize="0" autoFill="0" autoLine="0" autoPict="0">
                <anchor moveWithCells="1">
                  <from>
                    <xdr:col>0</xdr:col>
                    <xdr:colOff>609600</xdr:colOff>
                    <xdr:row>35</xdr:row>
                    <xdr:rowOff>171450</xdr:rowOff>
                  </from>
                  <to>
                    <xdr:col>0</xdr:col>
                    <xdr:colOff>800100</xdr:colOff>
                    <xdr:row>37</xdr:row>
                    <xdr:rowOff>0</xdr:rowOff>
                  </to>
                </anchor>
              </controlPr>
            </control>
          </mc:Choice>
        </mc:AlternateContent>
        <mc:AlternateContent xmlns:mc="http://schemas.openxmlformats.org/markup-compatibility/2006">
          <mc:Choice Requires="x14">
            <control shapeId="1872" r:id="rId228" name="Option Button 848">
              <controlPr defaultSize="0" autoFill="0" autoLine="0" autoPict="0">
                <anchor moveWithCells="1">
                  <from>
                    <xdr:col>7</xdr:col>
                    <xdr:colOff>200025</xdr:colOff>
                    <xdr:row>46</xdr:row>
                    <xdr:rowOff>0</xdr:rowOff>
                  </from>
                  <to>
                    <xdr:col>7</xdr:col>
                    <xdr:colOff>447675</xdr:colOff>
                    <xdr:row>47</xdr:row>
                    <xdr:rowOff>28575</xdr:rowOff>
                  </to>
                </anchor>
              </controlPr>
            </control>
          </mc:Choice>
        </mc:AlternateContent>
        <mc:AlternateContent xmlns:mc="http://schemas.openxmlformats.org/markup-compatibility/2006">
          <mc:Choice Requires="x14">
            <control shapeId="1875" r:id="rId229" name="Option Button 851">
              <controlPr defaultSize="0" autoFill="0" autoLine="0" autoPict="0">
                <anchor moveWithCells="1">
                  <from>
                    <xdr:col>0</xdr:col>
                    <xdr:colOff>600075</xdr:colOff>
                    <xdr:row>22</xdr:row>
                    <xdr:rowOff>171450</xdr:rowOff>
                  </from>
                  <to>
                    <xdr:col>1</xdr:col>
                    <xdr:colOff>9525</xdr:colOff>
                    <xdr:row>24</xdr:row>
                    <xdr:rowOff>9525</xdr:rowOff>
                  </to>
                </anchor>
              </controlPr>
            </control>
          </mc:Choice>
        </mc:AlternateContent>
        <mc:AlternateContent xmlns:mc="http://schemas.openxmlformats.org/markup-compatibility/2006">
          <mc:Choice Requires="x14">
            <control shapeId="1877" r:id="rId230" name="Group Box 853">
              <controlPr defaultSize="0" autoFill="0" autoPict="0">
                <anchor moveWithCells="1">
                  <from>
                    <xdr:col>0</xdr:col>
                    <xdr:colOff>161925</xdr:colOff>
                    <xdr:row>14</xdr:row>
                    <xdr:rowOff>95250</xdr:rowOff>
                  </from>
                  <to>
                    <xdr:col>10</xdr:col>
                    <xdr:colOff>428625</xdr:colOff>
                    <xdr:row>24</xdr:row>
                    <xdr:rowOff>38100</xdr:rowOff>
                  </to>
                </anchor>
              </controlPr>
            </control>
          </mc:Choice>
        </mc:AlternateContent>
        <mc:AlternateContent xmlns:mc="http://schemas.openxmlformats.org/markup-compatibility/2006">
          <mc:Choice Requires="x14">
            <control shapeId="1878" r:id="rId231" name="Group Box 854">
              <controlPr defaultSize="0" autoFill="0" autoPict="0">
                <anchor moveWithCells="1">
                  <from>
                    <xdr:col>2</xdr:col>
                    <xdr:colOff>66675</xdr:colOff>
                    <xdr:row>12</xdr:row>
                    <xdr:rowOff>47625</xdr:rowOff>
                  </from>
                  <to>
                    <xdr:col>6</xdr:col>
                    <xdr:colOff>304800</xdr:colOff>
                    <xdr:row>14</xdr:row>
                    <xdr:rowOff>95250</xdr:rowOff>
                  </to>
                </anchor>
              </controlPr>
            </control>
          </mc:Choice>
        </mc:AlternateContent>
        <mc:AlternateContent xmlns:mc="http://schemas.openxmlformats.org/markup-compatibility/2006">
          <mc:Choice Requires="x14">
            <control shapeId="1881" r:id="rId232" name="Option Button 857">
              <controlPr defaultSize="0" autoFill="0" autoLine="0" autoPict="0">
                <anchor moveWithCells="1">
                  <from>
                    <xdr:col>3</xdr:col>
                    <xdr:colOff>552450</xdr:colOff>
                    <xdr:row>66</xdr:row>
                    <xdr:rowOff>9525</xdr:rowOff>
                  </from>
                  <to>
                    <xdr:col>4</xdr:col>
                    <xdr:colOff>142875</xdr:colOff>
                    <xdr:row>67</xdr:row>
                    <xdr:rowOff>47625</xdr:rowOff>
                  </to>
                </anchor>
              </controlPr>
            </control>
          </mc:Choice>
        </mc:AlternateContent>
        <mc:AlternateContent xmlns:mc="http://schemas.openxmlformats.org/markup-compatibility/2006">
          <mc:Choice Requires="x14">
            <control shapeId="1889" r:id="rId233" name="Option Button 865">
              <controlPr defaultSize="0" autoFill="0" autoLine="0" autoPict="0">
                <anchor moveWithCells="1">
                  <from>
                    <xdr:col>4</xdr:col>
                    <xdr:colOff>0</xdr:colOff>
                    <xdr:row>82</xdr:row>
                    <xdr:rowOff>180975</xdr:rowOff>
                  </from>
                  <to>
                    <xdr:col>4</xdr:col>
                    <xdr:colOff>219075</xdr:colOff>
                    <xdr:row>84</xdr:row>
                    <xdr:rowOff>47625</xdr:rowOff>
                  </to>
                </anchor>
              </controlPr>
            </control>
          </mc:Choice>
        </mc:AlternateContent>
        <mc:AlternateContent xmlns:mc="http://schemas.openxmlformats.org/markup-compatibility/2006">
          <mc:Choice Requires="x14">
            <control shapeId="1890" r:id="rId234" name="Option Button 866">
              <controlPr defaultSize="0" autoFill="0" autoLine="0" autoPict="0">
                <anchor moveWithCells="1">
                  <from>
                    <xdr:col>8</xdr:col>
                    <xdr:colOff>28575</xdr:colOff>
                    <xdr:row>114</xdr:row>
                    <xdr:rowOff>180975</xdr:rowOff>
                  </from>
                  <to>
                    <xdr:col>8</xdr:col>
                    <xdr:colOff>257175</xdr:colOff>
                    <xdr:row>116</xdr:row>
                    <xdr:rowOff>19050</xdr:rowOff>
                  </to>
                </anchor>
              </controlPr>
            </control>
          </mc:Choice>
        </mc:AlternateContent>
        <mc:AlternateContent xmlns:mc="http://schemas.openxmlformats.org/markup-compatibility/2006">
          <mc:Choice Requires="x14">
            <control shapeId="1891" r:id="rId235" name="Option Button 867">
              <controlPr defaultSize="0" autoFill="0" autoLine="0" autoPict="0">
                <anchor moveWithCells="1">
                  <from>
                    <xdr:col>8</xdr:col>
                    <xdr:colOff>38100</xdr:colOff>
                    <xdr:row>116</xdr:row>
                    <xdr:rowOff>9525</xdr:rowOff>
                  </from>
                  <to>
                    <xdr:col>8</xdr:col>
                    <xdr:colOff>266700</xdr:colOff>
                    <xdr:row>117</xdr:row>
                    <xdr:rowOff>38100</xdr:rowOff>
                  </to>
                </anchor>
              </controlPr>
            </control>
          </mc:Choice>
        </mc:AlternateContent>
        <mc:AlternateContent xmlns:mc="http://schemas.openxmlformats.org/markup-compatibility/2006">
          <mc:Choice Requires="x14">
            <control shapeId="1892" r:id="rId236" name="Option Button 868">
              <controlPr defaultSize="0" autoFill="0" autoLine="0" autoPict="0">
                <anchor moveWithCells="1">
                  <from>
                    <xdr:col>4</xdr:col>
                    <xdr:colOff>476250</xdr:colOff>
                    <xdr:row>131</xdr:row>
                    <xdr:rowOff>180975</xdr:rowOff>
                  </from>
                  <to>
                    <xdr:col>5</xdr:col>
                    <xdr:colOff>47625</xdr:colOff>
                    <xdr:row>133</xdr:row>
                    <xdr:rowOff>19050</xdr:rowOff>
                  </to>
                </anchor>
              </controlPr>
            </control>
          </mc:Choice>
        </mc:AlternateContent>
        <mc:AlternateContent xmlns:mc="http://schemas.openxmlformats.org/markup-compatibility/2006">
          <mc:Choice Requires="x14">
            <control shapeId="1694" r:id="rId237" name="Check Box 670">
              <controlPr defaultSize="0" autoFill="0" autoLine="0" autoPict="0">
                <anchor moveWithCells="1">
                  <from>
                    <xdr:col>5</xdr:col>
                    <xdr:colOff>476250</xdr:colOff>
                    <xdr:row>129</xdr:row>
                    <xdr:rowOff>9525</xdr:rowOff>
                  </from>
                  <to>
                    <xdr:col>6</xdr:col>
                    <xdr:colOff>47625</xdr:colOff>
                    <xdr:row>130</xdr:row>
                    <xdr:rowOff>28575</xdr:rowOff>
                  </to>
                </anchor>
              </controlPr>
            </control>
          </mc:Choice>
        </mc:AlternateContent>
        <mc:AlternateContent xmlns:mc="http://schemas.openxmlformats.org/markup-compatibility/2006">
          <mc:Choice Requires="x14">
            <control shapeId="1895" r:id="rId238" name="Group Box 871">
              <controlPr defaultSize="0" autoFill="0" autoPict="0">
                <anchor moveWithCells="1">
                  <from>
                    <xdr:col>0</xdr:col>
                    <xdr:colOff>314325</xdr:colOff>
                    <xdr:row>102</xdr:row>
                    <xdr:rowOff>0</xdr:rowOff>
                  </from>
                  <to>
                    <xdr:col>10</xdr:col>
                    <xdr:colOff>323850</xdr:colOff>
                    <xdr:row>106</xdr:row>
                    <xdr:rowOff>38100</xdr:rowOff>
                  </to>
                </anchor>
              </controlPr>
            </control>
          </mc:Choice>
        </mc:AlternateContent>
        <mc:AlternateContent xmlns:mc="http://schemas.openxmlformats.org/markup-compatibility/2006">
          <mc:Choice Requires="x14">
            <control shapeId="1904" r:id="rId239" name="Group Box 880">
              <controlPr defaultSize="0" autoFill="0" autoPict="0">
                <anchor moveWithCells="1">
                  <from>
                    <xdr:col>6</xdr:col>
                    <xdr:colOff>619125</xdr:colOff>
                    <xdr:row>137</xdr:row>
                    <xdr:rowOff>76200</xdr:rowOff>
                  </from>
                  <to>
                    <xdr:col>10</xdr:col>
                    <xdr:colOff>85725</xdr:colOff>
                    <xdr:row>147</xdr:row>
                    <xdr:rowOff>76200</xdr:rowOff>
                  </to>
                </anchor>
              </controlPr>
            </control>
          </mc:Choice>
        </mc:AlternateContent>
        <mc:AlternateContent xmlns:mc="http://schemas.openxmlformats.org/markup-compatibility/2006">
          <mc:Choice Requires="x14">
            <control shapeId="1905" r:id="rId240" name="Option Button 881">
              <controlPr defaultSize="0" autoFill="0" autoLine="0" autoPict="0">
                <anchor moveWithCells="1">
                  <from>
                    <xdr:col>7</xdr:col>
                    <xdr:colOff>371475</xdr:colOff>
                    <xdr:row>137</xdr:row>
                    <xdr:rowOff>180975</xdr:rowOff>
                  </from>
                  <to>
                    <xdr:col>7</xdr:col>
                    <xdr:colOff>619125</xdr:colOff>
                    <xdr:row>139</xdr:row>
                    <xdr:rowOff>19050</xdr:rowOff>
                  </to>
                </anchor>
              </controlPr>
            </control>
          </mc:Choice>
        </mc:AlternateContent>
        <mc:AlternateContent xmlns:mc="http://schemas.openxmlformats.org/markup-compatibility/2006">
          <mc:Choice Requires="x14">
            <control shapeId="1906" r:id="rId241" name="Option Button 882">
              <controlPr defaultSize="0" autoFill="0" autoLine="0" autoPict="0">
                <anchor moveWithCells="1">
                  <from>
                    <xdr:col>7</xdr:col>
                    <xdr:colOff>381000</xdr:colOff>
                    <xdr:row>138</xdr:row>
                    <xdr:rowOff>190500</xdr:rowOff>
                  </from>
                  <to>
                    <xdr:col>7</xdr:col>
                    <xdr:colOff>619125</xdr:colOff>
                    <xdr:row>140</xdr:row>
                    <xdr:rowOff>28575</xdr:rowOff>
                  </to>
                </anchor>
              </controlPr>
            </control>
          </mc:Choice>
        </mc:AlternateContent>
        <mc:AlternateContent xmlns:mc="http://schemas.openxmlformats.org/markup-compatibility/2006">
          <mc:Choice Requires="x14">
            <control shapeId="1907" r:id="rId242" name="Option Button 883">
              <controlPr defaultSize="0" autoFill="0" autoLine="0" autoPict="0">
                <anchor moveWithCells="1">
                  <from>
                    <xdr:col>7</xdr:col>
                    <xdr:colOff>390525</xdr:colOff>
                    <xdr:row>140</xdr:row>
                    <xdr:rowOff>0</xdr:rowOff>
                  </from>
                  <to>
                    <xdr:col>7</xdr:col>
                    <xdr:colOff>628650</xdr:colOff>
                    <xdr:row>141</xdr:row>
                    <xdr:rowOff>28575</xdr:rowOff>
                  </to>
                </anchor>
              </controlPr>
            </control>
          </mc:Choice>
        </mc:AlternateContent>
        <mc:AlternateContent xmlns:mc="http://schemas.openxmlformats.org/markup-compatibility/2006">
          <mc:Choice Requires="x14">
            <control shapeId="1908" r:id="rId243" name="Option Button 884">
              <controlPr defaultSize="0" autoFill="0" autoLine="0" autoPict="0">
                <anchor moveWithCells="1">
                  <from>
                    <xdr:col>7</xdr:col>
                    <xdr:colOff>390525</xdr:colOff>
                    <xdr:row>141</xdr:row>
                    <xdr:rowOff>0</xdr:rowOff>
                  </from>
                  <to>
                    <xdr:col>7</xdr:col>
                    <xdr:colOff>628650</xdr:colOff>
                    <xdr:row>142</xdr:row>
                    <xdr:rowOff>28575</xdr:rowOff>
                  </to>
                </anchor>
              </controlPr>
            </control>
          </mc:Choice>
        </mc:AlternateContent>
        <mc:AlternateContent xmlns:mc="http://schemas.openxmlformats.org/markup-compatibility/2006">
          <mc:Choice Requires="x14">
            <control shapeId="1909" r:id="rId244" name="Option Button 885">
              <controlPr defaultSize="0" autoFill="0" autoLine="0" autoPict="0">
                <anchor moveWithCells="1">
                  <from>
                    <xdr:col>7</xdr:col>
                    <xdr:colOff>390525</xdr:colOff>
                    <xdr:row>142</xdr:row>
                    <xdr:rowOff>28575</xdr:rowOff>
                  </from>
                  <to>
                    <xdr:col>7</xdr:col>
                    <xdr:colOff>628650</xdr:colOff>
                    <xdr:row>143</xdr:row>
                    <xdr:rowOff>57150</xdr:rowOff>
                  </to>
                </anchor>
              </controlPr>
            </control>
          </mc:Choice>
        </mc:AlternateContent>
        <mc:AlternateContent xmlns:mc="http://schemas.openxmlformats.org/markup-compatibility/2006">
          <mc:Choice Requires="x14">
            <control shapeId="1920" r:id="rId245" name="Check Box 896">
              <controlPr defaultSize="0" autoFill="0" autoLine="0" autoPict="0">
                <anchor moveWithCells="1">
                  <from>
                    <xdr:col>0</xdr:col>
                    <xdr:colOff>600075</xdr:colOff>
                    <xdr:row>136</xdr:row>
                    <xdr:rowOff>190500</xdr:rowOff>
                  </from>
                  <to>
                    <xdr:col>1</xdr:col>
                    <xdr:colOff>0</xdr:colOff>
                    <xdr:row>138</xdr:row>
                    <xdr:rowOff>19050</xdr:rowOff>
                  </to>
                </anchor>
              </controlPr>
            </control>
          </mc:Choice>
        </mc:AlternateContent>
        <mc:AlternateContent xmlns:mc="http://schemas.openxmlformats.org/markup-compatibility/2006">
          <mc:Choice Requires="x14">
            <control shapeId="1921" r:id="rId246" name="Option Button 897">
              <controlPr defaultSize="0" autoFill="0" autoLine="0" autoPict="0">
                <anchor moveWithCells="1">
                  <from>
                    <xdr:col>0</xdr:col>
                    <xdr:colOff>609600</xdr:colOff>
                    <xdr:row>107</xdr:row>
                    <xdr:rowOff>161925</xdr:rowOff>
                  </from>
                  <to>
                    <xdr:col>0</xdr:col>
                    <xdr:colOff>800100</xdr:colOff>
                    <xdr:row>109</xdr:row>
                    <xdr:rowOff>0</xdr:rowOff>
                  </to>
                </anchor>
              </controlPr>
            </control>
          </mc:Choice>
        </mc:AlternateContent>
        <mc:AlternateContent xmlns:mc="http://schemas.openxmlformats.org/markup-compatibility/2006">
          <mc:Choice Requires="x14">
            <control shapeId="1922" r:id="rId247" name="Check Box 898">
              <controlPr defaultSize="0" autoFill="0" autoLine="0" autoPict="0">
                <anchor moveWithCells="1">
                  <from>
                    <xdr:col>4</xdr:col>
                    <xdr:colOff>590550</xdr:colOff>
                    <xdr:row>140</xdr:row>
                    <xdr:rowOff>19050</xdr:rowOff>
                  </from>
                  <to>
                    <xdr:col>5</xdr:col>
                    <xdr:colOff>161925</xdr:colOff>
                    <xdr:row>141</xdr:row>
                    <xdr:rowOff>38100</xdr:rowOff>
                  </to>
                </anchor>
              </controlPr>
            </control>
          </mc:Choice>
        </mc:AlternateContent>
        <mc:AlternateContent xmlns:mc="http://schemas.openxmlformats.org/markup-compatibility/2006">
          <mc:Choice Requires="x14">
            <control shapeId="1926" r:id="rId248" name="Group Box 902">
              <controlPr defaultSize="0" autoFill="0" autoPict="0">
                <anchor moveWithCells="1">
                  <from>
                    <xdr:col>0</xdr:col>
                    <xdr:colOff>38100</xdr:colOff>
                    <xdr:row>39</xdr:row>
                    <xdr:rowOff>0</xdr:rowOff>
                  </from>
                  <to>
                    <xdr:col>9</xdr:col>
                    <xdr:colOff>542925</xdr:colOff>
                    <xdr:row>42</xdr:row>
                    <xdr:rowOff>180975</xdr:rowOff>
                  </to>
                </anchor>
              </controlPr>
            </control>
          </mc:Choice>
        </mc:AlternateContent>
        <mc:AlternateContent xmlns:mc="http://schemas.openxmlformats.org/markup-compatibility/2006">
          <mc:Choice Requires="x14">
            <control shapeId="1927" r:id="rId249" name="Option Button 903">
              <controlPr defaultSize="0" autoFill="0" autoLine="0" autoPict="0">
                <anchor moveWithCells="1">
                  <from>
                    <xdr:col>0</xdr:col>
                    <xdr:colOff>619125</xdr:colOff>
                    <xdr:row>40</xdr:row>
                    <xdr:rowOff>180975</xdr:rowOff>
                  </from>
                  <to>
                    <xdr:col>1</xdr:col>
                    <xdr:colOff>47625</xdr:colOff>
                    <xdr:row>42</xdr:row>
                    <xdr:rowOff>19050</xdr:rowOff>
                  </to>
                </anchor>
              </controlPr>
            </control>
          </mc:Choice>
        </mc:AlternateContent>
        <mc:AlternateContent xmlns:mc="http://schemas.openxmlformats.org/markup-compatibility/2006">
          <mc:Choice Requires="x14">
            <control shapeId="1928" r:id="rId250" name="Option Button 904">
              <controlPr defaultSize="0" autoFill="0" autoLine="0" autoPict="0">
                <anchor moveWithCells="1">
                  <from>
                    <xdr:col>2</xdr:col>
                    <xdr:colOff>581025</xdr:colOff>
                    <xdr:row>40</xdr:row>
                    <xdr:rowOff>9525</xdr:rowOff>
                  </from>
                  <to>
                    <xdr:col>3</xdr:col>
                    <xdr:colOff>171450</xdr:colOff>
                    <xdr:row>41</xdr:row>
                    <xdr:rowOff>38100</xdr:rowOff>
                  </to>
                </anchor>
              </controlPr>
            </control>
          </mc:Choice>
        </mc:AlternateContent>
        <mc:AlternateContent xmlns:mc="http://schemas.openxmlformats.org/markup-compatibility/2006">
          <mc:Choice Requires="x14">
            <control shapeId="1929" r:id="rId251" name="Option Button 905">
              <controlPr defaultSize="0" autoFill="0" autoLine="0" autoPict="0">
                <anchor moveWithCells="1">
                  <from>
                    <xdr:col>3</xdr:col>
                    <xdr:colOff>533400</xdr:colOff>
                    <xdr:row>39</xdr:row>
                    <xdr:rowOff>171450</xdr:rowOff>
                  </from>
                  <to>
                    <xdr:col>4</xdr:col>
                    <xdr:colOff>123825</xdr:colOff>
                    <xdr:row>41</xdr:row>
                    <xdr:rowOff>9525</xdr:rowOff>
                  </to>
                </anchor>
              </controlPr>
            </control>
          </mc:Choice>
        </mc:AlternateContent>
        <mc:AlternateContent xmlns:mc="http://schemas.openxmlformats.org/markup-compatibility/2006">
          <mc:Choice Requires="x14">
            <control shapeId="1930" r:id="rId252" name="Option Button 906">
              <controlPr defaultSize="0" autoFill="0" autoLine="0" autoPict="0">
                <anchor moveWithCells="1">
                  <from>
                    <xdr:col>4</xdr:col>
                    <xdr:colOff>581025</xdr:colOff>
                    <xdr:row>39</xdr:row>
                    <xdr:rowOff>171450</xdr:rowOff>
                  </from>
                  <to>
                    <xdr:col>5</xdr:col>
                    <xdr:colOff>171450</xdr:colOff>
                    <xdr:row>41</xdr:row>
                    <xdr:rowOff>9525</xdr:rowOff>
                  </to>
                </anchor>
              </controlPr>
            </control>
          </mc:Choice>
        </mc:AlternateContent>
        <mc:AlternateContent xmlns:mc="http://schemas.openxmlformats.org/markup-compatibility/2006">
          <mc:Choice Requires="x14">
            <control shapeId="1931" r:id="rId253" name="Option Button 907">
              <controlPr defaultSize="0" autoFill="0" autoLine="0" autoPict="0">
                <anchor moveWithCells="1">
                  <from>
                    <xdr:col>5</xdr:col>
                    <xdr:colOff>628650</xdr:colOff>
                    <xdr:row>39</xdr:row>
                    <xdr:rowOff>171450</xdr:rowOff>
                  </from>
                  <to>
                    <xdr:col>6</xdr:col>
                    <xdr:colOff>219075</xdr:colOff>
                    <xdr:row>41</xdr:row>
                    <xdr:rowOff>9525</xdr:rowOff>
                  </to>
                </anchor>
              </controlPr>
            </control>
          </mc:Choice>
        </mc:AlternateContent>
        <mc:AlternateContent xmlns:mc="http://schemas.openxmlformats.org/markup-compatibility/2006">
          <mc:Choice Requires="x14">
            <control shapeId="1932" r:id="rId254" name="Option Button 908">
              <controlPr defaultSize="0" autoFill="0" autoLine="0" autoPict="0">
                <anchor moveWithCells="1">
                  <from>
                    <xdr:col>1</xdr:col>
                    <xdr:colOff>266700</xdr:colOff>
                    <xdr:row>40</xdr:row>
                    <xdr:rowOff>0</xdr:rowOff>
                  </from>
                  <to>
                    <xdr:col>2</xdr:col>
                    <xdr:colOff>28575</xdr:colOff>
                    <xdr:row>41</xdr:row>
                    <xdr:rowOff>28575</xdr:rowOff>
                  </to>
                </anchor>
              </controlPr>
            </control>
          </mc:Choice>
        </mc:AlternateContent>
        <mc:AlternateContent xmlns:mc="http://schemas.openxmlformats.org/markup-compatibility/2006">
          <mc:Choice Requires="x14">
            <control shapeId="1933" r:id="rId255" name="Check Box 909">
              <controlPr defaultSize="0" autoFill="0" autoLine="0" autoPict="0">
                <anchor moveWithCells="1">
                  <from>
                    <xdr:col>4</xdr:col>
                    <xdr:colOff>638175</xdr:colOff>
                    <xdr:row>158</xdr:row>
                    <xdr:rowOff>190500</xdr:rowOff>
                  </from>
                  <to>
                    <xdr:col>5</xdr:col>
                    <xdr:colOff>180975</xdr:colOff>
                    <xdr:row>160</xdr:row>
                    <xdr:rowOff>19050</xdr:rowOff>
                  </to>
                </anchor>
              </controlPr>
            </control>
          </mc:Choice>
        </mc:AlternateContent>
        <mc:AlternateContent xmlns:mc="http://schemas.openxmlformats.org/markup-compatibility/2006">
          <mc:Choice Requires="x14">
            <control shapeId="1938" r:id="rId256" name="Option Button 914">
              <controlPr defaultSize="0" autoFill="0" autoLine="0" autoPict="0">
                <anchor moveWithCells="1">
                  <from>
                    <xdr:col>7</xdr:col>
                    <xdr:colOff>104775</xdr:colOff>
                    <xdr:row>39</xdr:row>
                    <xdr:rowOff>180975</xdr:rowOff>
                  </from>
                  <to>
                    <xdr:col>7</xdr:col>
                    <xdr:colOff>342900</xdr:colOff>
                    <xdr:row>41</xdr:row>
                    <xdr:rowOff>19050</xdr:rowOff>
                  </to>
                </anchor>
              </controlPr>
            </control>
          </mc:Choice>
        </mc:AlternateContent>
        <mc:AlternateContent xmlns:mc="http://schemas.openxmlformats.org/markup-compatibility/2006">
          <mc:Choice Requires="x14">
            <control shapeId="1944" r:id="rId257" name="Option Button 920">
              <controlPr defaultSize="0" autoFill="0" autoLine="0" autoPict="0">
                <anchor moveWithCells="1">
                  <from>
                    <xdr:col>4</xdr:col>
                    <xdr:colOff>66675</xdr:colOff>
                    <xdr:row>23</xdr:row>
                    <xdr:rowOff>9525</xdr:rowOff>
                  </from>
                  <to>
                    <xdr:col>4</xdr:col>
                    <xdr:colOff>276225</xdr:colOff>
                    <xdr:row>23</xdr:row>
                    <xdr:rowOff>180975</xdr:rowOff>
                  </to>
                </anchor>
              </controlPr>
            </control>
          </mc:Choice>
        </mc:AlternateContent>
        <mc:AlternateContent xmlns:mc="http://schemas.openxmlformats.org/markup-compatibility/2006">
          <mc:Choice Requires="x14">
            <control shapeId="1946" r:id="rId258" name="Option Button 922">
              <controlPr defaultSize="0" autoFill="0" autoLine="0" autoPict="0">
                <anchor moveWithCells="1">
                  <from>
                    <xdr:col>4</xdr:col>
                    <xdr:colOff>476250</xdr:colOff>
                    <xdr:row>130</xdr:row>
                    <xdr:rowOff>180975</xdr:rowOff>
                  </from>
                  <to>
                    <xdr:col>5</xdr:col>
                    <xdr:colOff>57150</xdr:colOff>
                    <xdr:row>132</xdr:row>
                    <xdr:rowOff>19050</xdr:rowOff>
                  </to>
                </anchor>
              </controlPr>
            </control>
          </mc:Choice>
        </mc:AlternateContent>
        <mc:AlternateContent xmlns:mc="http://schemas.openxmlformats.org/markup-compatibility/2006">
          <mc:Choice Requires="x14">
            <control shapeId="1950" r:id="rId259" name="Option Button 926">
              <controlPr defaultSize="0" autoFill="0" autoLine="0" autoPict="0">
                <anchor moveWithCells="1">
                  <from>
                    <xdr:col>3</xdr:col>
                    <xdr:colOff>504825</xdr:colOff>
                    <xdr:row>133</xdr:row>
                    <xdr:rowOff>180975</xdr:rowOff>
                  </from>
                  <to>
                    <xdr:col>4</xdr:col>
                    <xdr:colOff>76200</xdr:colOff>
                    <xdr:row>135</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xWindow="1002" yWindow="589" count="2">
        <x14:dataValidation type="list" allowBlank="1" showInputMessage="1" showErrorMessage="1" xr:uid="{3F40E129-E5E3-4592-B44C-2656415F91C8}">
          <x14:formula1>
            <xm:f>Weights!$B$156:$B$161</xm:f>
          </x14:formula1>
          <xm:sqref>J63</xm:sqref>
        </x14:dataValidation>
        <x14:dataValidation type="list" allowBlank="1" showInputMessage="1" showErrorMessage="1" xr:uid="{2C98FD46-2EB5-4A27-BF05-92939576B3AA}">
          <x14:formula1>
            <xm:f>Weights!$E$156:$E$161</xm:f>
          </x14:formula1>
          <xm:sqref>C148:E148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47485-73D7-4DD7-9D8D-082AB7FC19E8}">
  <sheetPr codeName="Sheet2"/>
  <dimension ref="A1:X183"/>
  <sheetViews>
    <sheetView workbookViewId="0">
      <pane ySplit="1" topLeftCell="A104" activePane="bottomLeft" state="frozen"/>
      <selection activeCell="D142" sqref="D142"/>
      <selection pane="bottomLeft" activeCell="I127" sqref="I127:L127"/>
    </sheetView>
  </sheetViews>
  <sheetFormatPr defaultRowHeight="15.75" x14ac:dyDescent="0.25"/>
  <cols>
    <col min="1" max="1" width="32.42578125" customWidth="1"/>
    <col min="2" max="2" width="15.7109375" customWidth="1"/>
    <col min="3" max="3" width="10.85546875" style="1" bestFit="1" customWidth="1"/>
    <col min="4" max="4" width="9.140625" style="117"/>
    <col min="5" max="5" width="19" style="2" customWidth="1"/>
    <col min="6" max="6" width="8.5703125" style="437" customWidth="1"/>
    <col min="7" max="7" width="22.5703125" style="64" customWidth="1"/>
    <col min="8" max="8" width="11.42578125" customWidth="1"/>
    <col min="9" max="9" width="7.7109375" customWidth="1"/>
  </cols>
  <sheetData>
    <row r="1" spans="1:16" x14ac:dyDescent="0.25">
      <c r="B1" s="34" t="s">
        <v>51</v>
      </c>
      <c r="C1" s="188"/>
      <c r="D1" s="535" t="s">
        <v>155</v>
      </c>
      <c r="E1" s="110" t="s">
        <v>52</v>
      </c>
      <c r="F1" s="427" t="s">
        <v>65</v>
      </c>
      <c r="H1" s="162"/>
      <c r="I1" s="162" t="s">
        <v>69</v>
      </c>
      <c r="J1" s="162"/>
      <c r="K1" s="162"/>
      <c r="L1" s="162"/>
      <c r="M1" s="162"/>
      <c r="N1" s="162"/>
      <c r="O1" s="162"/>
      <c r="P1" s="162"/>
    </row>
    <row r="2" spans="1:16" x14ac:dyDescent="0.25">
      <c r="A2" s="200" t="s">
        <v>70</v>
      </c>
      <c r="B2" s="201"/>
      <c r="C2" s="421"/>
      <c r="D2" s="202"/>
      <c r="E2" s="203"/>
      <c r="F2" s="428">
        <v>8</v>
      </c>
      <c r="H2">
        <v>1</v>
      </c>
      <c r="I2" s="192">
        <v>27</v>
      </c>
      <c r="J2" s="193">
        <v>30</v>
      </c>
      <c r="K2" s="193">
        <v>33</v>
      </c>
      <c r="L2" s="193">
        <v>36</v>
      </c>
      <c r="M2" s="193">
        <v>39</v>
      </c>
      <c r="N2" s="193">
        <v>42</v>
      </c>
      <c r="O2" s="193">
        <v>45</v>
      </c>
      <c r="P2" s="194">
        <v>50</v>
      </c>
    </row>
    <row r="3" spans="1:16" x14ac:dyDescent="0.25">
      <c r="A3" s="208" t="str">
        <f>Language!B30</f>
        <v>S3</v>
      </c>
      <c r="B3" s="209" cm="1">
        <f t="array" ref="B3">_xlfn.SWITCH(F16,1,(0),2,(0),3,(K3),4,(L3),5,(N3),6,(O3),7,(M3),8,(P3),9,(0),)</f>
        <v>0</v>
      </c>
      <c r="C3" s="769">
        <v>1</v>
      </c>
      <c r="D3" s="479">
        <v>3676</v>
      </c>
      <c r="E3" s="211" t="str">
        <f>548&amp;G24&amp;G4&amp;G4&amp;G14</f>
        <v xml:space="preserve">548 00 </v>
      </c>
      <c r="F3" s="429"/>
      <c r="G3" s="717" t="str" cm="1">
        <f t="array" ref="G3">_xlfn.SWITCH(F2,1,(A3),2,(A5),3,(A6),4,(A7),5,(A4),6,(A8),7,(A9),8,(""),9,(0),)</f>
        <v/>
      </c>
      <c r="H3" s="212" t="s">
        <v>125</v>
      </c>
      <c r="I3" s="213"/>
      <c r="J3" s="209"/>
      <c r="K3" s="209">
        <v>2028</v>
      </c>
      <c r="L3" s="209">
        <v>2184</v>
      </c>
      <c r="M3" s="209">
        <v>2196</v>
      </c>
      <c r="N3" s="209">
        <v>2280</v>
      </c>
      <c r="O3" s="209">
        <v>2354</v>
      </c>
      <c r="P3" s="214">
        <v>2684</v>
      </c>
    </row>
    <row r="4" spans="1:16" x14ac:dyDescent="0.25">
      <c r="A4" s="208" t="str">
        <f>Language!B31</f>
        <v>S3 Kort</v>
      </c>
      <c r="B4" s="1" cm="1">
        <f t="array" ref="B4">_xlfn.SWITCH(F16,1,(0),2,(J4),3,(K3),4,(L4),5,(N4),6,(O4),7,(M4),8,(0),9,(0),)</f>
        <v>0</v>
      </c>
      <c r="C4" s="769">
        <v>5</v>
      </c>
      <c r="D4" s="479">
        <v>3676</v>
      </c>
      <c r="E4" s="2" t="str">
        <f>549&amp;G24&amp;G4&amp;G4&amp;G14</f>
        <v xml:space="preserve">549 00 </v>
      </c>
      <c r="F4" s="430"/>
      <c r="G4" s="718">
        <v>0</v>
      </c>
      <c r="I4" s="197"/>
      <c r="J4" s="198">
        <v>1620</v>
      </c>
      <c r="K4" s="198">
        <v>2014</v>
      </c>
      <c r="L4" s="198">
        <v>2092</v>
      </c>
      <c r="M4" s="198">
        <v>2110</v>
      </c>
      <c r="N4" s="198">
        <v>2178</v>
      </c>
      <c r="O4" s="198">
        <v>2334</v>
      </c>
      <c r="P4" s="199"/>
    </row>
    <row r="5" spans="1:16" x14ac:dyDescent="0.25">
      <c r="A5" s="208" t="str">
        <f>Language!B32</f>
        <v>S3 Kort Låg</v>
      </c>
      <c r="B5" s="209" cm="1">
        <f t="array" ref="B5">_xlfn.SWITCH(F16,1,(0),2,(0),3,(K5),4,(L5),5,(0),6,(0),7,(M5),8,(0),9,(0),)</f>
        <v>0</v>
      </c>
      <c r="C5" s="769">
        <v>2</v>
      </c>
      <c r="D5" s="479">
        <v>5249</v>
      </c>
      <c r="E5" s="211" t="str">
        <f>552&amp;G24&amp;G4&amp;G4&amp;G14</f>
        <v xml:space="preserve">552 00 </v>
      </c>
      <c r="F5" s="429"/>
      <c r="G5" s="717" cm="1">
        <f t="array" ref="G5">_xlfn.SWITCH(F2,1,(B3),2,(B5),3,(B6),4,(B7),5,(B4),6,(B8),7,(B9),8,(0),9,(0),)</f>
        <v>0</v>
      </c>
      <c r="H5" s="212" t="s">
        <v>69</v>
      </c>
      <c r="I5" s="216"/>
      <c r="J5" s="217"/>
      <c r="K5" s="217">
        <v>1894</v>
      </c>
      <c r="L5" s="217">
        <v>1984</v>
      </c>
      <c r="M5" s="217">
        <v>2018</v>
      </c>
      <c r="N5" s="217"/>
      <c r="O5" s="217"/>
      <c r="P5" s="218"/>
    </row>
    <row r="6" spans="1:16" x14ac:dyDescent="0.25">
      <c r="A6" s="208" t="str">
        <f>Language!B33</f>
        <v>S3 Large</v>
      </c>
      <c r="B6" s="1" cm="1">
        <f t="array" ref="B6">_xlfn.SWITCH(F16,1,(0),2,(0),3,(0),4,(0),5,(N6),6,(O6),7,(M6),8,(P6),9,(0),)</f>
        <v>0</v>
      </c>
      <c r="C6" s="769">
        <v>3</v>
      </c>
      <c r="D6" s="479">
        <v>5249</v>
      </c>
      <c r="E6" s="2" t="str">
        <f>554&amp;G24&amp;G4&amp;G4&amp;G14</f>
        <v xml:space="preserve">554 00 </v>
      </c>
      <c r="F6" s="430"/>
      <c r="G6" s="181"/>
      <c r="I6" s="197"/>
      <c r="J6" s="198"/>
      <c r="K6" s="198"/>
      <c r="L6" s="198"/>
      <c r="M6" s="198">
        <v>2409</v>
      </c>
      <c r="N6" s="198">
        <v>2502</v>
      </c>
      <c r="O6" s="198">
        <v>2772</v>
      </c>
      <c r="P6" s="199">
        <v>2874</v>
      </c>
    </row>
    <row r="7" spans="1:16" x14ac:dyDescent="0.25">
      <c r="A7" s="208" t="str">
        <f>Language!B34</f>
        <v>S3 Lång</v>
      </c>
      <c r="B7" s="209" cm="1">
        <f t="array" ref="B7">_xlfn.SWITCH(F16,1,(0),2,(0),3,(K7),4,(L7),5,(N7),6,(O7),7,(M7),8,(P7),9,(0),)</f>
        <v>0</v>
      </c>
      <c r="C7" s="769">
        <v>4</v>
      </c>
      <c r="D7" s="479">
        <v>5467</v>
      </c>
      <c r="E7" s="211" t="str">
        <f>58312&amp;G24&amp;H11</f>
        <v>58312 GP</v>
      </c>
      <c r="F7" s="429"/>
      <c r="G7" s="717" cm="1">
        <f t="array" ref="G7">_xlfn.SWITCH(F2,1,(D3),2,(D5),3,(D6),4,(D7),5,(D4),6,(D8),7,(D9),8,(0),9,("0 "),)</f>
        <v>0</v>
      </c>
      <c r="H7" s="212" t="s">
        <v>43</v>
      </c>
      <c r="I7" s="216"/>
      <c r="J7" s="217"/>
      <c r="K7" s="217">
        <v>2278</v>
      </c>
      <c r="L7" s="217">
        <v>2350</v>
      </c>
      <c r="M7" s="217">
        <v>2378</v>
      </c>
      <c r="N7" s="217">
        <v>2428</v>
      </c>
      <c r="O7" s="217">
        <v>2478</v>
      </c>
      <c r="P7" s="218">
        <v>2744</v>
      </c>
    </row>
    <row r="8" spans="1:16" x14ac:dyDescent="0.25">
      <c r="A8" s="208" t="str">
        <f>Language!B35</f>
        <v>S3 0°</v>
      </c>
      <c r="B8" s="1" cm="1">
        <f t="array" ref="B8">_xlfn.SWITCH(F16,1,(0),2,(0),3,(K8),4,(L8),5,(N8),6,(O8),7,(M8),8,(P8),9,(0),)</f>
        <v>0</v>
      </c>
      <c r="C8" s="769">
        <v>6</v>
      </c>
      <c r="D8" s="479">
        <v>4945</v>
      </c>
      <c r="E8" s="2" t="str">
        <f>58310&amp;G24&amp;H11</f>
        <v>58310 GP</v>
      </c>
      <c r="F8" s="430"/>
      <c r="G8" s="181"/>
      <c r="I8" s="197"/>
      <c r="J8" s="198"/>
      <c r="K8" s="198">
        <v>2028</v>
      </c>
      <c r="L8" s="198">
        <v>2184</v>
      </c>
      <c r="M8" s="198">
        <v>2196</v>
      </c>
      <c r="N8" s="198">
        <v>2280</v>
      </c>
      <c r="O8" s="198">
        <v>2354</v>
      </c>
      <c r="P8" s="199">
        <v>2684</v>
      </c>
    </row>
    <row r="9" spans="1:16" x14ac:dyDescent="0.25">
      <c r="A9" s="208" t="str">
        <f>Language!B36</f>
        <v>S3 Kort Abd</v>
      </c>
      <c r="B9" s="209" cm="1">
        <f t="array" ref="B9">_xlfn.SWITCH(F16,1,(I9),2,(J9),3,(K9),4,(0),5,(0),6,(0),7,(0),8,(0),9,(0),)</f>
        <v>0</v>
      </c>
      <c r="C9" s="769">
        <v>7</v>
      </c>
      <c r="D9" s="479">
        <v>5249</v>
      </c>
      <c r="E9" s="211" t="str">
        <f>555&amp;G24&amp;G4&amp;G4&amp;G14</f>
        <v xml:space="preserve">555 00 </v>
      </c>
      <c r="F9" s="429"/>
      <c r="G9" s="717" t="str" cm="1">
        <f t="array" ref="G9">_xlfn.SWITCH(F2,1,(E3),2,(E5),3,(E6),4,(E7),5,(E4),6,(E8),7,(E9),8,(""),9,(" "),)</f>
        <v/>
      </c>
      <c r="H9" s="212" t="s">
        <v>52</v>
      </c>
      <c r="I9" s="219">
        <v>1620</v>
      </c>
      <c r="J9" s="220">
        <v>2014</v>
      </c>
      <c r="K9" s="220">
        <v>2092</v>
      </c>
      <c r="L9" s="220"/>
      <c r="M9" s="220"/>
      <c r="N9" s="220"/>
      <c r="O9" s="220"/>
      <c r="P9" s="221"/>
    </row>
    <row r="10" spans="1:16" x14ac:dyDescent="0.25">
      <c r="A10" s="159"/>
      <c r="B10" s="189">
        <f>G5</f>
        <v>0</v>
      </c>
      <c r="C10" s="770">
        <v>8</v>
      </c>
      <c r="D10" s="189">
        <f>G7</f>
        <v>0</v>
      </c>
      <c r="E10" s="163" t="str">
        <f>G9</f>
        <v/>
      </c>
      <c r="F10" s="430"/>
      <c r="G10" s="181"/>
    </row>
    <row r="11" spans="1:16" x14ac:dyDescent="0.25">
      <c r="A11" s="200" t="s">
        <v>71</v>
      </c>
      <c r="B11" s="93"/>
      <c r="C11" s="204"/>
      <c r="D11" s="204"/>
      <c r="E11" s="205"/>
      <c r="F11" s="428">
        <v>3</v>
      </c>
      <c r="G11" s="719"/>
      <c r="H11" s="207" t="s">
        <v>155</v>
      </c>
    </row>
    <row r="12" spans="1:16" x14ac:dyDescent="0.25">
      <c r="A12" s="2" t="str">
        <f>Language!B48</f>
        <v>Svart - Anodic Black</v>
      </c>
      <c r="B12" s="188">
        <v>0</v>
      </c>
      <c r="C12" s="188"/>
      <c r="D12" s="535">
        <v>0</v>
      </c>
      <c r="E12" s="118">
        <v>9930011</v>
      </c>
      <c r="F12" s="430"/>
      <c r="G12" s="720" t="str" cm="1">
        <f t="array" ref="G12">_xlfn.SWITCH(F11,1,(A12),2,(A13),3,(""),4,(A14),5,(""),6,(""),7,(0),8,(""),)</f>
        <v/>
      </c>
      <c r="H12" s="207" t="s">
        <v>53</v>
      </c>
      <c r="I12" s="212" t="s">
        <v>125</v>
      </c>
    </row>
    <row r="13" spans="1:16" x14ac:dyDescent="0.25">
      <c r="A13" s="2" t="str">
        <f>Language!B49</f>
        <v>Grå - Gray Metallic</v>
      </c>
      <c r="B13" s="188">
        <v>0</v>
      </c>
      <c r="C13" s="188"/>
      <c r="D13" s="535">
        <v>0</v>
      </c>
      <c r="E13" s="118">
        <v>9930002</v>
      </c>
      <c r="F13" s="431"/>
      <c r="G13" s="721" cm="1">
        <f t="array" ref="G13">_xlfn.SWITCH(F11,1,(D12),2,(D13),3,(0),4,(D14),5,(0),6,(0),7,(0),8,0,)</f>
        <v>0</v>
      </c>
      <c r="H13" s="207" t="s">
        <v>54</v>
      </c>
      <c r="I13" s="212" t="s">
        <v>43</v>
      </c>
    </row>
    <row r="14" spans="1:16" x14ac:dyDescent="0.25">
      <c r="A14" s="2" t="str">
        <f>Language!B50</f>
        <v xml:space="preserve">         Tillvalsfärg</v>
      </c>
      <c r="B14" s="188">
        <v>0</v>
      </c>
      <c r="C14" s="422"/>
      <c r="D14" s="535">
        <v>0</v>
      </c>
      <c r="E14" s="2">
        <f>'S3 models'!F31</f>
        <v>0</v>
      </c>
      <c r="F14" s="431"/>
      <c r="G14" s="718" t="str" cm="1">
        <f t="array" ref="G14">_xlfn.SWITCH(F11,1,(H12),2,(H13),3,(" "),4,(H11),5,(0),6,(0),7,(0),8,0,)</f>
        <v xml:space="preserve"> </v>
      </c>
      <c r="H14" s="212" t="s">
        <v>127</v>
      </c>
    </row>
    <row r="15" spans="1:16" x14ac:dyDescent="0.25">
      <c r="A15" s="2"/>
      <c r="B15" s="190">
        <v>0</v>
      </c>
      <c r="C15" s="189"/>
      <c r="D15" s="189">
        <f>G13</f>
        <v>0</v>
      </c>
      <c r="E15" s="164" t="str">
        <f>G15</f>
        <v/>
      </c>
      <c r="F15" s="431"/>
      <c r="G15" s="718" t="str" cm="1">
        <f t="array" ref="G15">_xlfn.SWITCH(F11,1,(E12),2,(E13),3,(""),4,(E14),5,(0),6,(0),7,(0),8,0,)</f>
        <v/>
      </c>
      <c r="H15" s="212" t="s">
        <v>52</v>
      </c>
    </row>
    <row r="16" spans="1:16" x14ac:dyDescent="0.25">
      <c r="A16" s="200" t="s">
        <v>113</v>
      </c>
      <c r="B16" s="93"/>
      <c r="C16" s="204"/>
      <c r="D16" s="202"/>
      <c r="E16" s="203"/>
      <c r="F16" s="428">
        <v>9</v>
      </c>
      <c r="G16" s="179"/>
      <c r="J16" s="183"/>
    </row>
    <row r="17" spans="1:9" x14ac:dyDescent="0.25">
      <c r="A17" s="2">
        <v>27</v>
      </c>
      <c r="F17" s="430"/>
      <c r="G17" s="179"/>
    </row>
    <row r="18" spans="1:9" x14ac:dyDescent="0.25">
      <c r="A18" s="2">
        <v>30</v>
      </c>
      <c r="F18" s="430"/>
      <c r="G18" s="179"/>
    </row>
    <row r="19" spans="1:9" x14ac:dyDescent="0.25">
      <c r="A19" s="2">
        <v>33</v>
      </c>
      <c r="F19" s="430"/>
      <c r="G19" s="180"/>
    </row>
    <row r="20" spans="1:9" x14ac:dyDescent="0.25">
      <c r="A20" s="2">
        <v>36</v>
      </c>
      <c r="F20" s="430"/>
      <c r="G20" s="180"/>
    </row>
    <row r="21" spans="1:9" x14ac:dyDescent="0.25">
      <c r="A21" s="2">
        <v>39</v>
      </c>
      <c r="E21" s="14"/>
      <c r="F21" s="430"/>
      <c r="G21" s="180"/>
    </row>
    <row r="22" spans="1:9" x14ac:dyDescent="0.25">
      <c r="A22" s="2">
        <v>42</v>
      </c>
      <c r="E22" s="14"/>
      <c r="F22" s="430"/>
      <c r="G22" s="718" t="str" cm="1">
        <f t="array" ref="G22">_xlfn.SWITCH(F2,1,("33-50 cm"),2,("33-39 cm"),3,("39-50 cm"),4,("33-50 cm"),5,("30-45 cm"),6,("33-50 cm"),7,("27-33 cm"),8,(""),)</f>
        <v/>
      </c>
      <c r="H22" s="423" t="s">
        <v>147</v>
      </c>
      <c r="I22" s="423"/>
    </row>
    <row r="23" spans="1:9" x14ac:dyDescent="0.25">
      <c r="A23" s="2">
        <v>45</v>
      </c>
      <c r="E23" s="14"/>
      <c r="F23" s="430"/>
      <c r="G23" s="719">
        <v>0</v>
      </c>
    </row>
    <row r="24" spans="1:9" x14ac:dyDescent="0.25">
      <c r="A24" s="2">
        <v>50</v>
      </c>
      <c r="E24" s="2">
        <v>36</v>
      </c>
      <c r="F24" s="430"/>
      <c r="G24" s="718" t="str" cm="1">
        <f t="array" ref="G24">_xlfn.SWITCH(F16,1,(A17),2,(A18),3,(A19),4,(A20),5,(A22),6,(A23),7,(A21),8,(A24),9,(" "),)</f>
        <v xml:space="preserve"> </v>
      </c>
      <c r="H24" s="423" t="s">
        <v>132</v>
      </c>
    </row>
    <row r="25" spans="1:9" x14ac:dyDescent="0.25">
      <c r="A25" s="2"/>
      <c r="D25" s="189">
        <v>0</v>
      </c>
      <c r="E25" s="164" t="str">
        <f>G24</f>
        <v xml:space="preserve"> </v>
      </c>
      <c r="F25" s="430"/>
      <c r="G25" s="180"/>
    </row>
    <row r="26" spans="1:9" x14ac:dyDescent="0.25">
      <c r="A26" s="200" t="s">
        <v>135</v>
      </c>
      <c r="B26" s="93"/>
      <c r="C26" s="204"/>
      <c r="D26" s="716"/>
      <c r="E26" s="203"/>
      <c r="F26" s="428">
        <v>3</v>
      </c>
      <c r="G26" s="180"/>
    </row>
    <row r="27" spans="1:9" ht="15" x14ac:dyDescent="0.25">
      <c r="A27" s="2" t="s">
        <v>150</v>
      </c>
      <c r="B27" s="1">
        <v>175</v>
      </c>
      <c r="C27"/>
      <c r="D27" s="198"/>
      <c r="E27"/>
      <c r="F27" s="432"/>
      <c r="G27" s="180"/>
    </row>
    <row r="28" spans="1:9" x14ac:dyDescent="0.25">
      <c r="A28" s="2">
        <v>35</v>
      </c>
      <c r="B28" s="1">
        <v>200</v>
      </c>
      <c r="D28" s="715"/>
      <c r="F28" s="430"/>
      <c r="G28" s="718" cm="1">
        <f t="array" ref="G28">_xlfn.SWITCH(F26,1,(0),2,(B28),3,(B29),4,(B30),5,(B31),6,(B27),7,(B32),)</f>
        <v>215</v>
      </c>
      <c r="H28" s="212" t="s">
        <v>69</v>
      </c>
    </row>
    <row r="29" spans="1:9" x14ac:dyDescent="0.25">
      <c r="A29" s="2" t="s">
        <v>136</v>
      </c>
      <c r="B29" s="1">
        <v>215</v>
      </c>
      <c r="D29" s="715"/>
      <c r="F29" s="430"/>
      <c r="G29" s="719"/>
    </row>
    <row r="30" spans="1:9" x14ac:dyDescent="0.25">
      <c r="A30" s="2">
        <v>40</v>
      </c>
      <c r="B30" s="1">
        <v>230</v>
      </c>
      <c r="D30" s="715"/>
      <c r="F30" s="430"/>
      <c r="G30" s="718" t="str" cm="1">
        <f t="array" ref="G30">_xlfn.SWITCH(F2,1,("40 cm"),2,("35 cm"),3,("45 cm"),4,("45 cm"),5,(Language!B55),6,("35, 37.5, 40, 42.5 cm"),7,("27-33 cm"),8,(""),)</f>
        <v/>
      </c>
      <c r="H30" s="423" t="s">
        <v>148</v>
      </c>
      <c r="I30" s="423"/>
    </row>
    <row r="31" spans="1:9" x14ac:dyDescent="0.25">
      <c r="A31" s="2" t="s">
        <v>137</v>
      </c>
      <c r="B31" s="1">
        <v>245</v>
      </c>
      <c r="D31" s="715"/>
      <c r="F31" s="430"/>
      <c r="G31" s="719"/>
    </row>
    <row r="32" spans="1:9" x14ac:dyDescent="0.25">
      <c r="A32" s="2">
        <v>45</v>
      </c>
      <c r="B32" s="1">
        <v>260</v>
      </c>
      <c r="D32" s="715"/>
      <c r="E32" s="2" t="str">
        <f>G32</f>
        <v>37.5</v>
      </c>
      <c r="F32" s="430"/>
      <c r="G32" s="718" t="str" cm="1">
        <f t="array" ref="G32">_xlfn.SWITCH(F26,1,(""),2,(A28),3,(A29),4,(A30),5,(A31),6,(A27),7,(A32),)</f>
        <v>37.5</v>
      </c>
      <c r="H32" s="423" t="s">
        <v>138</v>
      </c>
    </row>
    <row r="33" spans="1:24" x14ac:dyDescent="0.25">
      <c r="A33" s="2"/>
      <c r="B33" s="190">
        <v>0</v>
      </c>
      <c r="D33" s="189">
        <v>0</v>
      </c>
      <c r="F33" s="430"/>
      <c r="G33" s="180"/>
      <c r="H33" s="423"/>
    </row>
    <row r="34" spans="1:24" x14ac:dyDescent="0.25">
      <c r="A34" s="200" t="s">
        <v>139</v>
      </c>
      <c r="B34" s="93"/>
      <c r="C34" s="204"/>
      <c r="D34" s="202"/>
      <c r="E34" s="205"/>
      <c r="F34" s="428">
        <v>4</v>
      </c>
    </row>
    <row r="35" spans="1:24" x14ac:dyDescent="0.25">
      <c r="A35" s="2" t="str">
        <f>Language!B539</f>
        <v>Standard</v>
      </c>
      <c r="B35" s="1">
        <v>722</v>
      </c>
      <c r="C35" s="422"/>
      <c r="D35" s="715">
        <v>2270</v>
      </c>
      <c r="E35" s="2" t="str">
        <f>523&amp;G24&amp;G50&amp;G36</f>
        <v>523   VER2</v>
      </c>
      <c r="F35" s="430"/>
      <c r="G35" s="267" t="str" cm="1">
        <f t="array" ref="G35">_xlfn.SWITCH(F34,1,(A41),2,(A36),3,(A37),4,(""),5,(A35),6,(A39),7,(A38),8,(A40),9,(A41),)</f>
        <v/>
      </c>
      <c r="H35" s="212" t="s">
        <v>125</v>
      </c>
      <c r="I35" s="34" t="s">
        <v>112</v>
      </c>
      <c r="N35" s="34" t="s">
        <v>112</v>
      </c>
      <c r="S35" s="34" t="s">
        <v>112</v>
      </c>
    </row>
    <row r="36" spans="1:24" x14ac:dyDescent="0.25">
      <c r="A36" s="2" t="str">
        <f>Language!B540</f>
        <v xml:space="preserve"> Insvängd</v>
      </c>
      <c r="B36" s="1">
        <v>900</v>
      </c>
      <c r="C36" s="422"/>
      <c r="D36" s="715">
        <v>4464</v>
      </c>
      <c r="E36" s="2" t="str">
        <f>525&amp;G24&amp;G50&amp;G36</f>
        <v>525   VER2</v>
      </c>
      <c r="F36" s="430"/>
      <c r="G36" s="181" t="s">
        <v>61</v>
      </c>
      <c r="I36" s="183" t="e" cm="1">
        <f t="array" ref="I36">_xlfn.XLOOKUP(E25,J40:M40,_xlfn.XLOOKUP(E51,I41:I43,J41:M43))</f>
        <v>#N/A</v>
      </c>
      <c r="N36" s="183" t="e" cm="1">
        <f t="array" ref="N36">_xlfn.XLOOKUP(E25,O40:R40,_xlfn.XLOOKUP(E51,N41:N44,O41:R44))</f>
        <v>#N/A</v>
      </c>
      <c r="S36" s="183" t="e" cm="1">
        <f t="array" ref="S36">_xlfn.XLOOKUP(E25,T40:X40,_xlfn.XLOOKUP(E51,S41:S42,T41:X42))</f>
        <v>#N/A</v>
      </c>
    </row>
    <row r="37" spans="1:24" x14ac:dyDescent="0.25">
      <c r="A37" s="2" t="str">
        <f>Language!B541</f>
        <v>Bakåtbockad</v>
      </c>
      <c r="B37" s="1">
        <v>950</v>
      </c>
      <c r="C37" s="422"/>
      <c r="D37" s="715">
        <v>4464</v>
      </c>
      <c r="E37" s="2" t="str">
        <f>524&amp;G24&amp;G50&amp;G36</f>
        <v>524   VER2</v>
      </c>
      <c r="F37" s="430"/>
      <c r="G37" s="181"/>
      <c r="I37" s="223" t="s">
        <v>74</v>
      </c>
      <c r="J37" s="224"/>
      <c r="K37" s="223" t="s">
        <v>75</v>
      </c>
      <c r="L37" s="224"/>
      <c r="M37" s="223"/>
      <c r="N37" s="223" t="s">
        <v>74</v>
      </c>
      <c r="O37" s="224"/>
      <c r="P37" s="223" t="s">
        <v>75</v>
      </c>
      <c r="Q37" s="224"/>
      <c r="R37" s="223"/>
      <c r="S37" s="223" t="s">
        <v>74</v>
      </c>
      <c r="T37" s="224"/>
      <c r="U37" s="223" t="s">
        <v>75</v>
      </c>
      <c r="V37" s="224"/>
      <c r="W37" s="224"/>
    </row>
    <row r="38" spans="1:24" x14ac:dyDescent="0.25">
      <c r="A38" s="2" t="str">
        <f>Language!B542</f>
        <v>För fasta ryggsystem</v>
      </c>
      <c r="B38" s="1">
        <v>700</v>
      </c>
      <c r="C38" s="422"/>
      <c r="D38" s="715">
        <v>3629</v>
      </c>
      <c r="E38" s="2" t="str">
        <f>71105&amp;G24</f>
        <v xml:space="preserve">71105 </v>
      </c>
      <c r="F38" s="430"/>
      <c r="G38" s="267" cm="1">
        <f t="array" ref="G38">_xlfn.SWITCH(F34,1,(B41),2,(B36),3,(B37),4,(0),5,(Weights!B35),6,(B39),7,(B38),8,(B40),9,B41)</f>
        <v>0</v>
      </c>
      <c r="H38" s="212" t="s">
        <v>69</v>
      </c>
      <c r="I38" s="271" t="s">
        <v>62</v>
      </c>
      <c r="J38" s="227"/>
      <c r="K38" s="197" t="s">
        <v>62</v>
      </c>
      <c r="L38" s="227"/>
      <c r="M38" s="197"/>
      <c r="N38" s="271" t="s">
        <v>63</v>
      </c>
      <c r="O38" s="227"/>
      <c r="P38" s="197" t="s">
        <v>63</v>
      </c>
      <c r="Q38" s="227"/>
      <c r="R38" s="197"/>
      <c r="S38" s="197" t="s">
        <v>111</v>
      </c>
      <c r="T38" s="227"/>
      <c r="U38" s="197" t="s">
        <v>111</v>
      </c>
      <c r="V38" s="227"/>
      <c r="W38" s="227"/>
    </row>
    <row r="39" spans="1:24" x14ac:dyDescent="0.25">
      <c r="A39" s="2" t="str">
        <f>Language!B543</f>
        <v>Insvängd 6 cm</v>
      </c>
      <c r="B39" s="1">
        <v>950</v>
      </c>
      <c r="C39" s="422"/>
      <c r="D39" s="715">
        <v>6089</v>
      </c>
      <c r="E39" s="2" t="e">
        <f>7110&amp;I36&amp;G36</f>
        <v>#N/A</v>
      </c>
      <c r="F39" s="430"/>
      <c r="G39" s="181"/>
      <c r="I39" s="225" t="str" cm="1">
        <f t="array" ref="I39">_xlfn.SWITCH(F16,1,("N/A"),2,("N/A"),3,("N/A"),4,(26),5,(32),6,(35),7,(29),8,("N/A"),9,(" "),)</f>
        <v xml:space="preserve"> </v>
      </c>
      <c r="J39" s="226"/>
      <c r="K39" s="225" t="str" cm="1">
        <f t="array" ref="K39">_xlfn.SWITCH(F44,1,("N/A"),2,("N/A"),3,("N/A"),4,(I39),5,(27),6,(28),7,(29),8,("N/A"),9,(" "),)</f>
        <v>N/A</v>
      </c>
      <c r="L39" s="226"/>
      <c r="M39" s="197"/>
      <c r="N39" s="225" cm="1">
        <f t="array" ref="N39">_xlfn.SWITCH(K16,1,("N/A"),2,("N/A"),3,("N/A"),4,(26),5,(32),6,(35),7,(29),8,("N/A"),9,(" "),)</f>
        <v>0</v>
      </c>
      <c r="O39" s="226"/>
      <c r="P39" s="225" cm="1">
        <f t="array" ref="P39">_xlfn.SWITCH(K44,1,("N/A"),2,("N/A"),3,("N/A"),4,(N39),5,(27),6,(28),7,(29),8,("N/A"),9,(" "),)</f>
        <v>0</v>
      </c>
      <c r="Q39" s="226"/>
      <c r="R39" s="197"/>
      <c r="S39" s="225" cm="1">
        <f t="array" ref="S39">_xlfn.SWITCH(P16,1,("N/A"),2,("N/A"),3,("N/A"),4,(26),5,(32),6,(35),7,(29),8,("N/A"),9,(" "),)</f>
        <v>0</v>
      </c>
      <c r="T39" s="226"/>
      <c r="U39" s="225" cm="1">
        <f t="array" ref="U39">_xlfn.SWITCH(P44,1,("N/A"),2,("N/A"),3,("N/A"),4,(S39),5,(27),6,(28),7,(29),8,("N/A"),9,(" "),)</f>
        <v>0</v>
      </c>
      <c r="V39" s="226"/>
      <c r="W39" s="227"/>
    </row>
    <row r="40" spans="1:24" x14ac:dyDescent="0.25">
      <c r="A40" s="2" t="str">
        <f>Language!B544</f>
        <v>Utsvängd 3 cm</v>
      </c>
      <c r="B40" s="1">
        <v>925</v>
      </c>
      <c r="C40" s="422"/>
      <c r="D40" s="715">
        <v>6089</v>
      </c>
      <c r="E40" s="2" t="e">
        <f>7110&amp;N36&amp;G36</f>
        <v>#N/A</v>
      </c>
      <c r="F40" s="430"/>
      <c r="G40" s="267" cm="1">
        <f t="array" ref="G40">_xlfn.SWITCH(F34,1,(D41),2,(D36),3,(D37),4,(0),5,(D35),6,(D39),7,(D38),8,(D40),9,(D41),)</f>
        <v>0</v>
      </c>
      <c r="H40" s="212" t="s">
        <v>43</v>
      </c>
      <c r="I40" s="197"/>
      <c r="J40" s="34">
        <v>36</v>
      </c>
      <c r="K40" s="34">
        <v>39</v>
      </c>
      <c r="L40" s="34">
        <v>42</v>
      </c>
      <c r="M40" s="270">
        <v>45</v>
      </c>
      <c r="N40" s="197"/>
      <c r="O40" s="34">
        <v>33</v>
      </c>
      <c r="P40" s="34">
        <v>36</v>
      </c>
      <c r="Q40" s="34">
        <v>39</v>
      </c>
      <c r="R40" s="270">
        <v>42</v>
      </c>
      <c r="S40" s="197"/>
      <c r="T40" s="34">
        <v>33</v>
      </c>
      <c r="U40" s="34">
        <v>36</v>
      </c>
      <c r="V40" s="34">
        <v>39</v>
      </c>
      <c r="W40" s="34">
        <v>42</v>
      </c>
      <c r="X40" s="270">
        <v>45</v>
      </c>
    </row>
    <row r="41" spans="1:24" x14ac:dyDescent="0.25">
      <c r="A41" s="2" t="str">
        <f>Language!B545</f>
        <v>Bakåtbockad-insvängd</v>
      </c>
      <c r="B41" s="1">
        <v>1000</v>
      </c>
      <c r="C41" s="422"/>
      <c r="D41" s="715">
        <v>6089</v>
      </c>
      <c r="E41" s="2" t="e">
        <f>7110&amp;S36&amp;G36</f>
        <v>#N/A</v>
      </c>
      <c r="F41" s="430"/>
      <c r="G41" s="181"/>
      <c r="I41" s="271">
        <v>30</v>
      </c>
      <c r="J41">
        <v>626</v>
      </c>
      <c r="K41">
        <v>629</v>
      </c>
      <c r="L41">
        <v>632</v>
      </c>
      <c r="M41" s="227">
        <v>635</v>
      </c>
      <c r="N41" s="271">
        <v>25</v>
      </c>
      <c r="O41">
        <v>599</v>
      </c>
      <c r="P41">
        <v>603</v>
      </c>
      <c r="Q41">
        <v>607</v>
      </c>
      <c r="R41" s="227">
        <v>611</v>
      </c>
      <c r="S41" s="271">
        <v>35</v>
      </c>
      <c r="T41">
        <v>681</v>
      </c>
      <c r="U41">
        <v>682</v>
      </c>
      <c r="V41">
        <v>683</v>
      </c>
      <c r="W41">
        <v>684</v>
      </c>
      <c r="X41" s="227">
        <v>685</v>
      </c>
    </row>
    <row r="42" spans="1:24" x14ac:dyDescent="0.25">
      <c r="A42" s="2"/>
      <c r="B42" s="1"/>
      <c r="D42" s="715"/>
      <c r="F42" s="430"/>
      <c r="G42" s="267" t="str" cm="1">
        <f t="array" ref="G42">_xlfn.SWITCH(F34,1,(E41),2,(E36),3,(E37),4,(""),5,(E35),6,(E39),7,(E38),8,(E40),9,E41)</f>
        <v/>
      </c>
      <c r="H42" s="212" t="s">
        <v>52</v>
      </c>
      <c r="I42" s="271">
        <v>35</v>
      </c>
      <c r="J42">
        <v>627</v>
      </c>
      <c r="K42">
        <v>630</v>
      </c>
      <c r="L42">
        <v>633</v>
      </c>
      <c r="M42" s="227">
        <v>636</v>
      </c>
      <c r="N42" s="271">
        <v>30</v>
      </c>
      <c r="O42">
        <v>600</v>
      </c>
      <c r="P42">
        <v>604</v>
      </c>
      <c r="Q42">
        <v>608</v>
      </c>
      <c r="R42" s="227">
        <v>612</v>
      </c>
      <c r="S42" s="272">
        <v>40</v>
      </c>
      <c r="T42" s="238">
        <v>686</v>
      </c>
      <c r="U42" s="238">
        <v>687</v>
      </c>
      <c r="V42" s="238">
        <v>688</v>
      </c>
      <c r="W42" s="238">
        <v>689</v>
      </c>
      <c r="X42" s="226">
        <v>690</v>
      </c>
    </row>
    <row r="43" spans="1:24" x14ac:dyDescent="0.25">
      <c r="A43" s="2"/>
      <c r="B43" s="190">
        <f>G38</f>
        <v>0</v>
      </c>
      <c r="C43" s="190"/>
      <c r="D43" s="189">
        <f>G40</f>
        <v>0</v>
      </c>
      <c r="E43" s="164" t="str">
        <f>G42</f>
        <v/>
      </c>
      <c r="F43" s="430"/>
      <c r="G43" s="182" t="str" cm="1">
        <f t="array" ref="G43">_xlfn.SWITCH(F34,1,(S46),2,(""),3,(""),4,(""),5,(""),6,(I46),7,(""),8,(N46),9,E41)</f>
        <v/>
      </c>
      <c r="H43" t="s">
        <v>122</v>
      </c>
      <c r="I43" s="272">
        <v>40</v>
      </c>
      <c r="J43" s="238">
        <v>628</v>
      </c>
      <c r="K43" s="238">
        <v>631</v>
      </c>
      <c r="L43" s="238">
        <v>634</v>
      </c>
      <c r="M43" s="226">
        <v>637</v>
      </c>
      <c r="N43" s="271">
        <v>35</v>
      </c>
      <c r="O43">
        <v>601</v>
      </c>
      <c r="P43">
        <v>605</v>
      </c>
      <c r="Q43">
        <v>609</v>
      </c>
      <c r="R43" s="227">
        <v>613</v>
      </c>
    </row>
    <row r="44" spans="1:24" x14ac:dyDescent="0.25">
      <c r="A44" s="222" t="s">
        <v>140</v>
      </c>
      <c r="B44" s="204"/>
      <c r="C44" s="204"/>
      <c r="D44" s="202"/>
      <c r="E44" s="205"/>
      <c r="F44" s="428">
        <v>1</v>
      </c>
      <c r="N44" s="272">
        <v>40</v>
      </c>
      <c r="O44" s="238">
        <v>602</v>
      </c>
      <c r="P44" s="238">
        <v>606</v>
      </c>
      <c r="Q44" s="238">
        <v>610</v>
      </c>
      <c r="R44" s="226">
        <v>614</v>
      </c>
    </row>
    <row r="45" spans="1:24" x14ac:dyDescent="0.25">
      <c r="A45" s="2">
        <v>20</v>
      </c>
      <c r="B45" s="1">
        <v>0</v>
      </c>
      <c r="E45" s="2">
        <v>20</v>
      </c>
      <c r="F45" s="430"/>
      <c r="I45" s="34" t="s">
        <v>121</v>
      </c>
      <c r="J45" s="34"/>
      <c r="K45" s="34"/>
      <c r="L45" s="34"/>
      <c r="M45" s="34"/>
      <c r="N45" s="34" t="s">
        <v>121</v>
      </c>
      <c r="O45" s="34"/>
      <c r="P45" s="34"/>
      <c r="Q45" s="34"/>
      <c r="R45" s="34"/>
      <c r="S45" s="34" t="s">
        <v>121</v>
      </c>
    </row>
    <row r="46" spans="1:24" x14ac:dyDescent="0.25">
      <c r="A46" s="2">
        <v>25</v>
      </c>
      <c r="B46" s="1">
        <v>110</v>
      </c>
      <c r="E46" s="2">
        <v>25</v>
      </c>
      <c r="F46" s="430"/>
      <c r="G46" s="182" cm="1">
        <f t="array" ref="G46">_xlfn.SWITCH(F44,1,(0),2,(B45),3,(B46),4,(B47),5,(B48),6,(B49),7,(B50),8,0,)</f>
        <v>0</v>
      </c>
      <c r="H46" s="212" t="s">
        <v>69</v>
      </c>
      <c r="I46" s="183" t="e">
        <f>7120&amp;I36</f>
        <v>#N/A</v>
      </c>
      <c r="J46" s="183" t="str" cm="1">
        <f t="array" ref="J46">_xlfn.SWITCH(F34,1,(""),2,(""),3,(""),4,(""),5,(""),6,(I46),7,(""),8,(""),9,(""),)</f>
        <v/>
      </c>
      <c r="N46" s="183" t="e">
        <f>7120&amp;N36</f>
        <v>#N/A</v>
      </c>
      <c r="O46" s="183" t="str" cm="1">
        <f t="array" ref="O46">_xlfn.SWITCH(F34,1,(""),2,(""),3,(""),4,(""),5,(""),6,(""),7,(""),8,(N46),9,(""),)</f>
        <v/>
      </c>
      <c r="S46" s="183" t="str">
        <f>526&amp;G24&amp;E51&amp;"T"</f>
        <v>526  T</v>
      </c>
      <c r="T46" s="183"/>
    </row>
    <row r="47" spans="1:24" x14ac:dyDescent="0.25">
      <c r="A47" s="2">
        <v>30</v>
      </c>
      <c r="B47" s="1">
        <v>220</v>
      </c>
      <c r="E47" s="2">
        <v>30</v>
      </c>
      <c r="F47" s="430"/>
    </row>
    <row r="48" spans="1:24" x14ac:dyDescent="0.25">
      <c r="A48" s="2">
        <v>35</v>
      </c>
      <c r="B48" s="1">
        <v>330</v>
      </c>
      <c r="E48" s="2">
        <v>35</v>
      </c>
      <c r="F48" s="430"/>
      <c r="H48" s="212" t="s">
        <v>43</v>
      </c>
    </row>
    <row r="49" spans="1:14" x14ac:dyDescent="0.25">
      <c r="A49" s="2">
        <v>40</v>
      </c>
      <c r="B49" s="1">
        <v>440</v>
      </c>
      <c r="E49" s="2">
        <v>40</v>
      </c>
      <c r="F49" s="430"/>
    </row>
    <row r="50" spans="1:14" x14ac:dyDescent="0.25">
      <c r="A50" s="2">
        <v>45</v>
      </c>
      <c r="B50" s="1">
        <v>550</v>
      </c>
      <c r="D50" s="740">
        <v>0</v>
      </c>
      <c r="E50" s="2">
        <v>45</v>
      </c>
      <c r="F50" s="430"/>
      <c r="G50" s="182" t="str" cm="1">
        <f t="array" ref="G50">_xlfn.SWITCH(F44,1,(" "),2,(E45),3,(E46),4,(E47),5,(E48),6,(E49),7,(E50),8,0,)</f>
        <v xml:space="preserve"> </v>
      </c>
      <c r="H50" s="212" t="s">
        <v>52</v>
      </c>
    </row>
    <row r="51" spans="1:14" x14ac:dyDescent="0.25">
      <c r="A51" s="2"/>
      <c r="B51" s="190">
        <f>G46</f>
        <v>0</v>
      </c>
      <c r="D51" s="743">
        <v>0</v>
      </c>
      <c r="E51" s="164" t="str">
        <f>G50</f>
        <v xml:space="preserve"> </v>
      </c>
      <c r="F51" s="430"/>
    </row>
    <row r="52" spans="1:14" x14ac:dyDescent="0.25">
      <c r="A52" s="222" t="s">
        <v>141</v>
      </c>
      <c r="B52" s="204"/>
      <c r="C52" s="204"/>
      <c r="D52" s="202"/>
      <c r="E52" s="205"/>
      <c r="F52" s="428">
        <v>4</v>
      </c>
      <c r="G52" s="267" t="str" cm="1">
        <f t="array" ref="G52">_xlfn.SWITCH(F52,1,(A53),2,(A54),3,(A46),4,(""),5,(A48),6,(A49),7,(0),8,0,)</f>
        <v/>
      </c>
      <c r="H52" s="212" t="s">
        <v>125</v>
      </c>
    </row>
    <row r="53" spans="1:14" x14ac:dyDescent="0.25">
      <c r="A53" s="2" t="str">
        <f>Language!B554</f>
        <v>Standard</v>
      </c>
      <c r="B53" s="1">
        <v>347</v>
      </c>
      <c r="D53" s="715">
        <v>1447</v>
      </c>
      <c r="E53" s="2" t="str">
        <f>G53&amp;G24</f>
        <v xml:space="preserve">33023 </v>
      </c>
      <c r="F53" s="430"/>
      <c r="G53" s="182">
        <v>33023</v>
      </c>
      <c r="H53" s="726" t="str" cm="1">
        <f t="array" ref="H53">_xlfn.SWITCH(F52,1,(D53),2,(D54),3,(D46),4,("0"),5,(D48),6,(D49),7,(0),8,0,)</f>
        <v>0</v>
      </c>
      <c r="I53" s="212" t="s">
        <v>43</v>
      </c>
    </row>
    <row r="54" spans="1:14" x14ac:dyDescent="0.25">
      <c r="A54" s="2" t="str">
        <f>Language!B555</f>
        <v>Standard +15mm</v>
      </c>
      <c r="B54" s="1">
        <v>352</v>
      </c>
      <c r="D54" s="479">
        <v>1447</v>
      </c>
      <c r="E54" s="2" t="e">
        <f>G53&amp;G54</f>
        <v>#VALUE!</v>
      </c>
      <c r="F54" s="430"/>
      <c r="G54" s="182" t="e">
        <f>G24+1</f>
        <v>#VALUE!</v>
      </c>
    </row>
    <row r="55" spans="1:14" ht="15" x14ac:dyDescent="0.25">
      <c r="A55" s="2" t="str">
        <f>Language!B556</f>
        <v>Övriga bakaxlar</v>
      </c>
      <c r="B55" s="1">
        <v>550</v>
      </c>
      <c r="D55" s="479" t="str">
        <f>IF(E55=0,"0",(VLOOKUP(E55,GP!$A$1:$C$5787,3,FALSE)))</f>
        <v>0</v>
      </c>
      <c r="E55" s="2">
        <f>'S3 models'!J61</f>
        <v>0</v>
      </c>
      <c r="F55" s="727"/>
      <c r="G55" s="267" t="str" cm="1">
        <f t="array" ref="G55">_xlfn.SWITCH(F52,1,(E53),2,(E54),3,(E55),4,(""),5,(E48),6,(E49),7,(" "),8,0,)</f>
        <v/>
      </c>
      <c r="H55" s="212" t="s">
        <v>52</v>
      </c>
    </row>
    <row r="56" spans="1:14" x14ac:dyDescent="0.25">
      <c r="A56" s="2"/>
      <c r="B56" s="190">
        <f>G56</f>
        <v>0</v>
      </c>
      <c r="D56" s="189" t="str">
        <f>H53</f>
        <v>0</v>
      </c>
      <c r="E56" s="164" t="str">
        <f>G55</f>
        <v/>
      </c>
      <c r="F56" s="430"/>
      <c r="G56" s="182" cm="1">
        <f t="array" ref="G56">_xlfn.SWITCH(F52,1,(B53),2,(B54),3,(B46),4,(0),5,(B48),6,(B49),7,(0),8,0,)</f>
        <v>0</v>
      </c>
      <c r="H56" s="212" t="s">
        <v>69</v>
      </c>
    </row>
    <row r="57" spans="1:14" x14ac:dyDescent="0.25">
      <c r="A57" s="222" t="s">
        <v>142</v>
      </c>
      <c r="B57" s="204"/>
      <c r="C57" s="204"/>
      <c r="D57" s="202"/>
      <c r="E57" s="205"/>
      <c r="F57" s="428">
        <v>3</v>
      </c>
      <c r="J57" s="303" t="str" cm="1">
        <f t="array" ref="J57">_xlfn.SWITCH(F2,1,(""),2,(""),3,(""),4,(""),5,(""),6,(M57),7,(""),8,(""),9,(""),)</f>
        <v/>
      </c>
      <c r="M57" t="s">
        <v>153</v>
      </c>
    </row>
    <row r="58" spans="1:14" x14ac:dyDescent="0.25">
      <c r="A58" s="2" t="s">
        <v>13</v>
      </c>
      <c r="B58" s="1">
        <v>666</v>
      </c>
      <c r="D58" s="1">
        <v>613</v>
      </c>
      <c r="E58" s="2">
        <v>2100070</v>
      </c>
      <c r="F58" s="430"/>
      <c r="G58" s="267" t="str" cm="1">
        <f t="array" ref="G58">_xlfn.SWITCH(F57,1,(A60),2,(A58),3,(""),4,(A59),5,(A59),6,(A49),7,(""),8,0,)</f>
        <v/>
      </c>
      <c r="H58" s="212" t="s">
        <v>125</v>
      </c>
    </row>
    <row r="59" spans="1:14" x14ac:dyDescent="0.25">
      <c r="A59" s="2" t="s">
        <v>128</v>
      </c>
      <c r="B59" s="1">
        <v>590</v>
      </c>
      <c r="D59" s="1">
        <v>613</v>
      </c>
      <c r="E59" s="2">
        <v>2100090</v>
      </c>
      <c r="F59" s="430"/>
      <c r="G59" s="182" cm="1">
        <f t="array" ref="G59">_xlfn.SWITCH(F57,1,(B60),2,(B58),3,(0),4,(B59),5,(B59),6,(B49),7,(0),8,0,)</f>
        <v>0</v>
      </c>
      <c r="H59" s="212" t="s">
        <v>69</v>
      </c>
      <c r="N59" t="s">
        <v>4844</v>
      </c>
    </row>
    <row r="60" spans="1:14" x14ac:dyDescent="0.25">
      <c r="A60" s="2" t="s">
        <v>14</v>
      </c>
      <c r="B60" s="1">
        <v>782</v>
      </c>
      <c r="D60" s="1">
        <v>600</v>
      </c>
      <c r="E60" s="2">
        <v>2100050</v>
      </c>
      <c r="F60" s="430"/>
    </row>
    <row r="61" spans="1:14" x14ac:dyDescent="0.25">
      <c r="A61" s="2" t="str">
        <f>Language!B257</f>
        <v>Övriga gafflar</v>
      </c>
      <c r="B61" s="1">
        <v>900</v>
      </c>
      <c r="D61" s="1" t="str">
        <f>IF(E61=0,"0",(VLOOKUP(E61,GP!$A$1:$C$5787,3,FALSE)))</f>
        <v>0</v>
      </c>
      <c r="E61" s="2">
        <f>'S3 models'!J70</f>
        <v>0</v>
      </c>
      <c r="F61" s="430"/>
      <c r="G61" s="182" t="str" cm="1">
        <f t="array" ref="G61">_xlfn.SWITCH(F57,1,(E60),2,(E58),3,(""),4,(E59),5,(E59),6,(E49),7,(" "),8,0,)</f>
        <v/>
      </c>
      <c r="H61" s="212" t="s">
        <v>52</v>
      </c>
    </row>
    <row r="62" spans="1:14" x14ac:dyDescent="0.25">
      <c r="A62" s="2"/>
      <c r="B62" s="190">
        <f>G59</f>
        <v>0</v>
      </c>
      <c r="D62" s="189">
        <f>(G62)*2</f>
        <v>0</v>
      </c>
      <c r="E62" s="164" t="str">
        <f>G61</f>
        <v/>
      </c>
      <c r="F62" s="430" t="s">
        <v>4845</v>
      </c>
      <c r="G62" s="182" t="str" cm="1">
        <f t="array" ref="G62">_xlfn.SWITCH(F57,1,(D60),2,(D58),3,("0"),4,(D59),5,(D59),6,(D49),7,(" "),8,0,)</f>
        <v>0</v>
      </c>
      <c r="H62" s="212" t="s">
        <v>43</v>
      </c>
    </row>
    <row r="63" spans="1:14" x14ac:dyDescent="0.25">
      <c r="A63" s="222" t="s">
        <v>143</v>
      </c>
      <c r="B63" s="204"/>
      <c r="C63" s="204"/>
      <c r="D63" s="202"/>
      <c r="E63" s="205"/>
      <c r="F63" s="428">
        <v>5</v>
      </c>
      <c r="G63" s="182" t="str" cm="1">
        <f t="array" ref="G63">_xlfn.SWITCH(F16,1,(A17),2,(A18),3,(34),4,(A20),5,(A22),6,(A23),7,(A21),8,(A24),9,(" "),)</f>
        <v xml:space="preserve"> </v>
      </c>
    </row>
    <row r="64" spans="1:14" ht="15" x14ac:dyDescent="0.25">
      <c r="A64" s="2" t="str">
        <f>Language!B562</f>
        <v>Titan</v>
      </c>
      <c r="B64" s="1">
        <v>306</v>
      </c>
      <c r="D64" s="715" t="e">
        <f>IF(F64=0,"0",(VLOOKUP(F64,GP!$A$1:$C$5787,3,FALSE)))</f>
        <v>#N/A</v>
      </c>
      <c r="E64" s="2" t="str">
        <f>36001&amp;G63</f>
        <v xml:space="preserve">36001 </v>
      </c>
      <c r="F64" s="2">
        <f>VALUE(E64)</f>
        <v>36001</v>
      </c>
      <c r="G64" s="267" t="str" cm="1">
        <f t="array" ref="G64">_xlfn.SWITCH(F63,1,(A64),2,(A67),3,(A66),4,(A65),5,(""),6,(A68),7,(""),8,0,)</f>
        <v/>
      </c>
      <c r="H64" s="212" t="s">
        <v>125</v>
      </c>
    </row>
    <row r="65" spans="1:17" x14ac:dyDescent="0.25">
      <c r="A65" s="2" t="str">
        <f>Language!B563</f>
        <v>Titan,U-formad</v>
      </c>
      <c r="B65" s="1">
        <v>280</v>
      </c>
      <c r="D65" s="715">
        <v>942</v>
      </c>
      <c r="E65" s="2">
        <v>3600134</v>
      </c>
      <c r="F65" s="430"/>
      <c r="G65" s="267" t="str" cm="1">
        <f t="array" ref="G65">_xlfn.SWITCH(F63,1,(D64),2,(D67),3,(D66),4,(D65),5,("0"),6,(D68),7,(""),8,0,)</f>
        <v>0</v>
      </c>
      <c r="H65" s="212" t="s">
        <v>43</v>
      </c>
      <c r="I65" s="239" t="s">
        <v>66</v>
      </c>
      <c r="J65" s="237"/>
      <c r="K65" s="237"/>
      <c r="L65" s="224"/>
    </row>
    <row r="66" spans="1:17" x14ac:dyDescent="0.25">
      <c r="A66" s="2" t="str">
        <f>Language!B564</f>
        <v>Förlängd, förstärkt</v>
      </c>
      <c r="B66" s="1">
        <v>400</v>
      </c>
      <c r="D66" s="715">
        <v>1980</v>
      </c>
      <c r="E66" s="2" t="str">
        <f>36111&amp;G24</f>
        <v xml:space="preserve">36111 </v>
      </c>
      <c r="F66" s="430"/>
      <c r="G66" s="182" cm="1">
        <f t="array" ref="G66">_xlfn.SWITCH(F63,1,(B64),2,(B67),3,(B66),4,(B65),5,(0),6,(B68),7,(0),8,0,)</f>
        <v>0</v>
      </c>
      <c r="H66" s="212" t="s">
        <v>69</v>
      </c>
      <c r="I66" s="259" t="s">
        <v>67</v>
      </c>
      <c r="J66" s="2" t="s">
        <v>68</v>
      </c>
      <c r="K66" s="2">
        <v>45</v>
      </c>
      <c r="L66" s="260">
        <v>50</v>
      </c>
    </row>
    <row r="67" spans="1:17" x14ac:dyDescent="0.25">
      <c r="A67" s="2" t="str">
        <f>Language!B565</f>
        <v>Fällbara fotplattor</v>
      </c>
      <c r="B67" s="1">
        <v>800</v>
      </c>
      <c r="D67" s="715">
        <v>1580</v>
      </c>
      <c r="E67" s="2" t="str">
        <f>670&amp;I68</f>
        <v xml:space="preserve">670 </v>
      </c>
      <c r="F67" s="430"/>
      <c r="I67" s="197">
        <v>3300</v>
      </c>
      <c r="J67">
        <v>3900</v>
      </c>
      <c r="K67">
        <v>4500</v>
      </c>
      <c r="L67" s="227">
        <v>5000</v>
      </c>
    </row>
    <row r="68" spans="1:17" ht="15" x14ac:dyDescent="0.25">
      <c r="A68" s="2" t="str">
        <f>Language!B566</f>
        <v>Fotplatta Carbon</v>
      </c>
      <c r="B68" s="1">
        <v>450</v>
      </c>
      <c r="D68" s="715">
        <v>3456</v>
      </c>
      <c r="E68" s="2" t="str">
        <f>65040&amp;G24</f>
        <v xml:space="preserve">65040 </v>
      </c>
      <c r="F68" s="433"/>
      <c r="G68" s="722" t="str" cm="1">
        <f t="array" ref="G68">_xlfn.SWITCH(F63,1,(E64),2,(E67),3,(E66),4,(E65),5,(""),6,(E68),7,(" "),8,0,)</f>
        <v/>
      </c>
      <c r="H68" s="212" t="s">
        <v>52</v>
      </c>
      <c r="I68" s="228" t="str" cm="1">
        <f t="array" ref="I68">_xlfn.SWITCH(F16,1,("NA"),2,("NA"),3,(I67),4,(I67),5,(J67),6,(K67),7,(J67),8,(L67),9,(" "),)</f>
        <v xml:space="preserve"> </v>
      </c>
      <c r="J68" s="238"/>
      <c r="K68" s="238"/>
      <c r="L68" s="226"/>
    </row>
    <row r="69" spans="1:17" ht="15" x14ac:dyDescent="0.25">
      <c r="A69" s="2"/>
      <c r="B69" s="190">
        <f>G66</f>
        <v>0</v>
      </c>
      <c r="D69" s="636" t="str">
        <f>G65</f>
        <v>0</v>
      </c>
      <c r="E69" s="164" t="str">
        <f>G68</f>
        <v/>
      </c>
      <c r="F69" s="433"/>
      <c r="G69" s="2"/>
      <c r="I69" s="268"/>
      <c r="L69" s="227"/>
    </row>
    <row r="70" spans="1:17" x14ac:dyDescent="0.25">
      <c r="A70" s="203" t="str">
        <f>Language!B200</f>
        <v>Hälband:</v>
      </c>
      <c r="B70" s="230" cm="1">
        <f t="array" ref="B70">_xlfn.SWITCH(F70,TRUE,(55),)</f>
        <v>0</v>
      </c>
      <c r="C70" s="424"/>
      <c r="D70" s="189" t="str" cm="1">
        <f t="array" ref="D70">_xlfn.SWITCH(F70,TRUE,(207),"0")</f>
        <v>0</v>
      </c>
      <c r="E70" s="637" t="str" cm="1">
        <f t="array" ref="E70">_xlfn.SWITCH(F70,TRUE,(H70),"")</f>
        <v/>
      </c>
      <c r="F70" s="430" t="b">
        <v>0</v>
      </c>
      <c r="G70" s="182" t="str" cm="1">
        <f t="array" ref="G70">_xlfn.SWITCH(F70,TRUE,(Language!B943),"")</f>
        <v/>
      </c>
      <c r="H70" s="638" t="str">
        <f>3700&amp;I72</f>
        <v>3700335</v>
      </c>
      <c r="I70" s="239" t="s">
        <v>76</v>
      </c>
      <c r="J70" s="237"/>
      <c r="K70" s="237"/>
      <c r="L70" s="224"/>
    </row>
    <row r="71" spans="1:17" x14ac:dyDescent="0.25">
      <c r="A71" s="203" t="str">
        <f>Language!B201</f>
        <v>Plastplatta:</v>
      </c>
      <c r="B71" s="233" cm="1">
        <f t="array" ref="B71">_xlfn.SWITCH(F71,TRUE,(48),)</f>
        <v>0</v>
      </c>
      <c r="C71" s="234"/>
      <c r="D71" s="189" t="str" cm="1">
        <f t="array" ref="D71">_xlfn.SWITCH(F71,TRUE,(248),"0")</f>
        <v>0</v>
      </c>
      <c r="E71" s="235" t="str" cm="1">
        <f t="array" ref="E71">_xlfn.SWITCH(F71,TRUE,(H71),"")</f>
        <v/>
      </c>
      <c r="F71" s="430" t="b">
        <v>0</v>
      </c>
      <c r="G71" s="182" t="str" cm="1">
        <f t="array" ref="G71">_xlfn.SWITCH(F71,TRUE,(Language!B943),"")</f>
        <v/>
      </c>
      <c r="H71" s="235" t="str">
        <f>36010&amp;G24</f>
        <v xml:space="preserve">36010 </v>
      </c>
      <c r="I71" s="257" t="s">
        <v>67</v>
      </c>
      <c r="J71" s="159" t="s">
        <v>68</v>
      </c>
      <c r="K71" s="159">
        <v>45</v>
      </c>
      <c r="L71" s="258">
        <v>50</v>
      </c>
    </row>
    <row r="72" spans="1:17" x14ac:dyDescent="0.25">
      <c r="A72" s="2"/>
      <c r="B72" s="1"/>
      <c r="E72" s="229"/>
      <c r="F72" s="430"/>
      <c r="I72" s="197">
        <v>335</v>
      </c>
      <c r="J72">
        <v>341</v>
      </c>
      <c r="K72">
        <v>347</v>
      </c>
      <c r="L72" s="227">
        <v>352</v>
      </c>
    </row>
    <row r="73" spans="1:17" x14ac:dyDescent="0.25">
      <c r="A73" s="222" t="s">
        <v>144</v>
      </c>
      <c r="B73" s="204"/>
      <c r="C73" s="204"/>
      <c r="D73" s="202"/>
      <c r="E73" s="205"/>
      <c r="F73" s="428">
        <v>2</v>
      </c>
      <c r="G73" s="182" t="str" cm="1">
        <f t="array" ref="G73">_xlfn.SWITCH(F73,1,(A75),2,(""),3,(A77),4,(A74),5,(A76),6,(A76),7,(""),8,0,)</f>
        <v/>
      </c>
      <c r="H73" s="212" t="s">
        <v>125</v>
      </c>
      <c r="I73" s="190" t="str" cm="1">
        <f t="array" ref="I73">_xlfn.SWITCH(F16,1,("NA"),2,("NA"),3,(I72),4,(I72),5,(J67),6,(K72),7,(J72),8,(L72),9,(" "),)</f>
        <v xml:space="preserve"> </v>
      </c>
      <c r="J73" s="238"/>
      <c r="K73" s="238"/>
      <c r="L73" s="226"/>
    </row>
    <row r="74" spans="1:17" x14ac:dyDescent="0.25">
      <c r="A74" s="2" t="str">
        <f>Language!B570</f>
        <v>S3 Standard</v>
      </c>
      <c r="B74" s="1">
        <v>310</v>
      </c>
      <c r="D74" s="715">
        <v>942</v>
      </c>
      <c r="E74" s="2">
        <v>4630000</v>
      </c>
      <c r="F74" s="430"/>
      <c r="G74" s="182" cm="1">
        <f t="array" ref="G74">_xlfn.SWITCH(F73,1,(D75),2,(0),3,(D77),4,(D74),5,(D76),6,(D76),7,(" "),8,0,)</f>
        <v>0</v>
      </c>
      <c r="H74" s="212" t="s">
        <v>43</v>
      </c>
      <c r="I74" s="239" t="s">
        <v>73</v>
      </c>
      <c r="J74" s="237"/>
      <c r="K74" s="237"/>
      <c r="L74" s="224"/>
    </row>
    <row r="75" spans="1:17" x14ac:dyDescent="0.25">
      <c r="A75" s="2" t="str">
        <f>Language!B571</f>
        <v xml:space="preserve"> Enhandsbroms, höger</v>
      </c>
      <c r="B75" s="1">
        <v>400</v>
      </c>
      <c r="D75" s="715">
        <v>1650</v>
      </c>
      <c r="E75" s="2" t="str">
        <f>367&amp;I77</f>
        <v xml:space="preserve">367 </v>
      </c>
      <c r="F75" s="430"/>
      <c r="I75" s="195" t="s">
        <v>78</v>
      </c>
      <c r="J75" s="1" t="s">
        <v>79</v>
      </c>
      <c r="K75" s="1" t="s">
        <v>80</v>
      </c>
      <c r="L75" s="196"/>
    </row>
    <row r="76" spans="1:17" x14ac:dyDescent="0.25">
      <c r="A76" s="2" t="str">
        <f>Language!B572</f>
        <v xml:space="preserve"> Enhandsbroms, vänster</v>
      </c>
      <c r="B76" s="1">
        <v>400</v>
      </c>
      <c r="D76" s="715">
        <v>1650</v>
      </c>
      <c r="E76" s="2" t="str">
        <f>368&amp;I77</f>
        <v xml:space="preserve">368 </v>
      </c>
      <c r="F76" s="430"/>
      <c r="G76" s="182" t="str" cm="1">
        <f t="array" ref="G76">_xlfn.SWITCH(F73,1,(E75),2,(""),3,(E77),4,(E74),5,(E76),6,(E76),7,(" "),8,0,)</f>
        <v/>
      </c>
      <c r="H76" s="212" t="s">
        <v>52</v>
      </c>
      <c r="I76" s="197">
        <v>3033</v>
      </c>
      <c r="J76">
        <v>3639</v>
      </c>
      <c r="K76">
        <v>4245</v>
      </c>
      <c r="L76" s="227"/>
    </row>
    <row r="77" spans="1:17" x14ac:dyDescent="0.25">
      <c r="A77" s="2" t="str">
        <f>Language!B573</f>
        <v>Vårdarbroms</v>
      </c>
      <c r="B77" s="1">
        <v>3500</v>
      </c>
      <c r="D77" s="715" t="str">
        <f>IF(E77=0,"0",(VLOOKUP(E77,GP!$A$1:$C$5787,3,FALSE)))</f>
        <v>0</v>
      </c>
      <c r="E77" s="2">
        <f>'S3 models'!J84</f>
        <v>0</v>
      </c>
      <c r="F77" s="430"/>
      <c r="I77" s="228" t="str" cm="1">
        <f t="array" ref="I77">_xlfn.SWITCH(F16,1,("NA"),2,(I76),3,(J76),4,(J76),5,(K76),6,(K76),7,(J76),8,("NA"),9,(" "),)</f>
        <v xml:space="preserve"> </v>
      </c>
      <c r="J77" s="238"/>
      <c r="K77" s="238"/>
      <c r="L77" s="226"/>
    </row>
    <row r="78" spans="1:17" x14ac:dyDescent="0.25">
      <c r="A78" s="2"/>
      <c r="B78" s="190">
        <f>G78</f>
        <v>0</v>
      </c>
      <c r="C78" s="757"/>
      <c r="D78" s="723">
        <f>G74</f>
        <v>0</v>
      </c>
      <c r="E78" s="164" t="str">
        <f>G76</f>
        <v/>
      </c>
      <c r="F78" s="430"/>
      <c r="G78" s="182" cm="1">
        <f t="array" ref="G78">_xlfn.SWITCH(F73,1,(B75),2,(0),3,(B77),4,(B74),5,(B76),6,(B76),7,(0),8,0,)</f>
        <v>0</v>
      </c>
      <c r="H78" s="212" t="s">
        <v>69</v>
      </c>
    </row>
    <row r="79" spans="1:17" x14ac:dyDescent="0.25">
      <c r="A79" s="222" t="s">
        <v>302</v>
      </c>
      <c r="B79" s="204"/>
      <c r="C79" s="204"/>
      <c r="D79" s="202"/>
      <c r="E79" s="205"/>
      <c r="F79" s="428">
        <v>4</v>
      </c>
    </row>
    <row r="80" spans="1:17" x14ac:dyDescent="0.25">
      <c r="A80" s="2" t="str">
        <f>Language!B575</f>
        <v>24" Std Däck Right Run</v>
      </c>
      <c r="B80" s="1">
        <v>2800</v>
      </c>
      <c r="D80" s="479">
        <f>IF(E80=0,"0",(VLOOKUP(E80,GP!$A$1:$C$5787,3,FALSE)))</f>
        <v>1825</v>
      </c>
      <c r="E80" s="2">
        <v>1300000</v>
      </c>
      <c r="F80" s="430"/>
      <c r="J80" s="64"/>
      <c r="K80" s="64"/>
      <c r="L80" s="64"/>
      <c r="M80" s="64"/>
      <c r="N80" s="64"/>
      <c r="O80" s="64"/>
      <c r="P80" s="64"/>
      <c r="Q80" s="64"/>
    </row>
    <row r="81" spans="1:17" x14ac:dyDescent="0.25">
      <c r="A81" s="2" t="str">
        <f>Language!B576</f>
        <v>24" Std Däck Marathon Plus</v>
      </c>
      <c r="B81" s="1">
        <v>3340</v>
      </c>
      <c r="D81" s="479">
        <f>IF(E81=0,"0",(VLOOKUP(E81,GP!$A$1:$C$5787,3,FALSE)))</f>
        <v>2031</v>
      </c>
      <c r="E81" s="2">
        <v>1300002</v>
      </c>
      <c r="F81" s="430"/>
      <c r="J81" s="64"/>
      <c r="K81" s="64"/>
      <c r="L81" s="64"/>
      <c r="M81" s="64"/>
      <c r="N81" s="64"/>
      <c r="O81" s="64"/>
      <c r="P81" s="64"/>
      <c r="Q81" s="64"/>
    </row>
    <row r="82" spans="1:17" x14ac:dyDescent="0.25">
      <c r="A82" s="2" t="str">
        <f>Language!B577</f>
        <v>24" Std Däck Grovmönst.</v>
      </c>
      <c r="B82" s="1">
        <v>2980</v>
      </c>
      <c r="D82" s="479">
        <f>IF(E82=0,"0",(VLOOKUP(E82,GP!$A$1:$C$5787,3,FALSE)))</f>
        <v>2221</v>
      </c>
      <c r="E82" s="2">
        <v>1300003</v>
      </c>
      <c r="F82" s="430"/>
      <c r="J82" s="64"/>
      <c r="K82" s="64"/>
      <c r="L82" s="64"/>
      <c r="M82" s="64"/>
      <c r="N82" s="64"/>
      <c r="O82" s="64"/>
      <c r="P82" s="64"/>
      <c r="Q82" s="64"/>
    </row>
    <row r="83" spans="1:17" x14ac:dyDescent="0.25">
      <c r="A83" s="2" t="str">
        <f>Language!B578</f>
        <v>24" Std Däck PU-massiva</v>
      </c>
      <c r="B83" s="1">
        <v>3320</v>
      </c>
      <c r="D83" s="479">
        <f>IF(E83=0,"0",(VLOOKUP(E83,GP!$A$1:$C$5787,3,FALSE)))</f>
        <v>2390</v>
      </c>
      <c r="E83" s="2">
        <v>1300001</v>
      </c>
      <c r="F83" s="430"/>
      <c r="J83" s="64"/>
      <c r="K83" s="64"/>
      <c r="L83" s="64"/>
      <c r="M83" s="64"/>
      <c r="N83" s="64"/>
      <c r="O83" s="64"/>
      <c r="P83" s="64"/>
      <c r="Q83" s="64"/>
    </row>
    <row r="84" spans="1:17" x14ac:dyDescent="0.25">
      <c r="A84" s="2" t="str">
        <f>Language!B579</f>
        <v>22" Std Däck Right Run</v>
      </c>
      <c r="B84" s="1">
        <v>2500</v>
      </c>
      <c r="D84" s="479">
        <f>IF(E84=0,"0",(VLOOKUP(E84,GP!$A$1:$C$5787,3,FALSE)))</f>
        <v>1825</v>
      </c>
      <c r="E84" s="2">
        <v>1310000</v>
      </c>
      <c r="F84" s="430"/>
      <c r="J84" s="64"/>
      <c r="K84" s="64"/>
      <c r="L84" s="64"/>
      <c r="M84" s="64"/>
      <c r="N84" s="64"/>
      <c r="O84" s="64"/>
      <c r="P84" s="64"/>
      <c r="Q84" s="64"/>
    </row>
    <row r="85" spans="1:17" x14ac:dyDescent="0.25">
      <c r="A85" s="2" t="str">
        <f>Language!B580</f>
        <v>22" Std Däck Marathon Plus</v>
      </c>
      <c r="B85" s="1">
        <v>3040</v>
      </c>
      <c r="D85" s="479">
        <f>IF(E85=0,"0",(VLOOKUP(E85,GP!$A$1:$C$5787,3,FALSE)))</f>
        <v>2031</v>
      </c>
      <c r="E85" s="2">
        <v>1310002</v>
      </c>
      <c r="F85" s="430"/>
      <c r="G85" s="182" t="str" cm="1">
        <f t="array" ref="G85">_xlfn.SWITCH(F79,1,(A85),2,(A95),3,(A84),4,(""),5,(A96),6,(A86),7,(A81),8,(A82),9,(A83),10,(A87),11,(A88),12,(A89),13,(A88),15,(A80),16,(A90),18,(A80),19,(A91),20,(A90),22,(A91),24,(A91),29,(A93),36,(A94),44,(A94),)</f>
        <v/>
      </c>
      <c r="H85" s="212" t="s">
        <v>125</v>
      </c>
      <c r="J85" s="64"/>
      <c r="K85" s="64"/>
      <c r="L85" s="64"/>
      <c r="M85" s="64"/>
      <c r="N85" s="64"/>
      <c r="O85" s="64"/>
      <c r="P85" s="64"/>
      <c r="Q85" s="64"/>
    </row>
    <row r="86" spans="1:17" x14ac:dyDescent="0.25">
      <c r="A86" s="2" t="str">
        <f>Language!B581</f>
        <v>22" Std Däck PU-massiva</v>
      </c>
      <c r="B86" s="1">
        <v>2680</v>
      </c>
      <c r="D86" s="479">
        <f>IF(E86=0,"0",(VLOOKUP(E86,GP!$A$1:$C$5787,3,FALSE)))</f>
        <v>2390</v>
      </c>
      <c r="E86" s="2">
        <v>1310001</v>
      </c>
      <c r="F86" s="430"/>
      <c r="J86" s="64"/>
      <c r="K86" s="64"/>
      <c r="L86" s="64"/>
      <c r="M86" s="64"/>
      <c r="N86" s="64"/>
      <c r="O86" s="64"/>
      <c r="P86" s="64"/>
      <c r="Q86" s="64"/>
    </row>
    <row r="87" spans="1:17" x14ac:dyDescent="0.25">
      <c r="A87" s="2" t="str">
        <f>Language!B582</f>
        <v>25" Spinergy X Däck Right Run</v>
      </c>
      <c r="B87" s="1">
        <v>2441</v>
      </c>
      <c r="D87" s="479">
        <f>IF(E87=0,"0",(VLOOKUP(E87,GP!$A$1:$C$5787,3,FALSE)))</f>
        <v>3548</v>
      </c>
      <c r="E87" s="2">
        <v>1100155</v>
      </c>
      <c r="F87" s="430"/>
      <c r="G87" s="182" cm="1">
        <f t="array" ref="G87">_xlfn.SWITCH(F79,1,(B85),2,(B95),3,(B84),4,(0),5,(B96),6,(B86),7,(B81),8,(B82),9,(B83),10,(B87),11,(B88),12,(B89),13,(B88),15,(B80),16,(B90),18,(B80),19,(B91),20,(B90),22,(B91),24,(B91),29,(B93),36,(B94),44,(B94),)</f>
        <v>0</v>
      </c>
      <c r="H87" s="212" t="s">
        <v>69</v>
      </c>
      <c r="J87" s="64"/>
      <c r="K87" s="64"/>
      <c r="L87" s="64"/>
      <c r="M87" s="64"/>
      <c r="N87" s="64"/>
      <c r="O87" s="64"/>
      <c r="P87" s="64"/>
      <c r="Q87" s="64"/>
    </row>
    <row r="88" spans="1:17" x14ac:dyDescent="0.25">
      <c r="A88" s="2" t="str">
        <f>Language!B583</f>
        <v>25" Spinergy X Däck Marat. Plus</v>
      </c>
      <c r="B88" s="1">
        <v>2980</v>
      </c>
      <c r="D88" s="479">
        <f>IF(E88=0,"0",(VLOOKUP(E88,GP!$A$1:$C$5787,3,FALSE)))</f>
        <v>3737</v>
      </c>
      <c r="E88" s="2">
        <v>1100275</v>
      </c>
      <c r="F88" s="430"/>
      <c r="J88" s="64"/>
      <c r="K88" s="64"/>
      <c r="L88" s="64"/>
      <c r="M88" s="64"/>
      <c r="N88" s="64"/>
      <c r="O88" s="64"/>
      <c r="P88" s="64"/>
      <c r="Q88" s="64"/>
    </row>
    <row r="89" spans="1:17" x14ac:dyDescent="0.25">
      <c r="A89" s="2" t="str">
        <f>Language!B584</f>
        <v>26" Spinergy X Däck Right Run</v>
      </c>
      <c r="B89" s="1">
        <v>2601</v>
      </c>
      <c r="D89" s="479">
        <f>IF(E89=0,"0",(VLOOKUP(E89,GP!$A$1:$C$5787,3,FALSE)))</f>
        <v>3548</v>
      </c>
      <c r="E89" s="2">
        <v>1100156</v>
      </c>
      <c r="F89" s="430"/>
      <c r="G89" s="182" t="str" cm="1">
        <f t="array" ref="G89">_xlfn.SWITCH(F79,1,(D85),2,(D95),3,(D84),4,("0"),5,(D96),6,(D86),7,(D81),8,(D82),9,(D83),10,(D87),11,(D88),12,(D89),13,(D88),15,(D80),16,(D90),18,(D80),19,(D91),20,(D90),22,(D91),24,(D91),29,(D93),36,(D94),44,(D94),)</f>
        <v>0</v>
      </c>
      <c r="H89" s="212" t="s">
        <v>43</v>
      </c>
      <c r="J89" s="64"/>
      <c r="K89" s="64"/>
      <c r="L89" s="64"/>
      <c r="M89" s="64"/>
      <c r="N89" s="64"/>
      <c r="O89" s="64"/>
      <c r="P89" s="64"/>
      <c r="Q89" s="64"/>
    </row>
    <row r="90" spans="1:17" x14ac:dyDescent="0.25">
      <c r="A90" s="2" t="str">
        <f>Language!B585</f>
        <v>26" Spinergy X Däck Marat. Plus</v>
      </c>
      <c r="B90" s="1">
        <v>3140</v>
      </c>
      <c r="D90" s="479">
        <f>IF(E90=0,"0",(VLOOKUP(E90,GP!$A$1:$C$5787,3,FALSE)))</f>
        <v>3737</v>
      </c>
      <c r="E90" s="2">
        <v>1100276</v>
      </c>
      <c r="F90" s="430"/>
      <c r="G90" s="241"/>
      <c r="J90" s="64"/>
      <c r="K90" s="515" t="s">
        <v>151</v>
      </c>
      <c r="L90" s="64" t="s">
        <v>152</v>
      </c>
      <c r="M90" s="64"/>
      <c r="N90" s="64"/>
      <c r="O90" s="64"/>
      <c r="P90" s="64"/>
      <c r="Q90" s="64"/>
    </row>
    <row r="91" spans="1:17" x14ac:dyDescent="0.25">
      <c r="A91" s="2" t="str">
        <f>Language!B586</f>
        <v>25" Spinergy X Däck  Right Run Vit</v>
      </c>
      <c r="B91" s="1">
        <v>2441</v>
      </c>
      <c r="D91" s="479">
        <f>IF(E91=0,"0",(VLOOKUP(E91,GP!$A$1:$C$5787,3,FALSE)))</f>
        <v>3548</v>
      </c>
      <c r="E91" s="2">
        <v>1100165</v>
      </c>
      <c r="F91" s="430"/>
      <c r="G91" s="182" t="str" cm="1">
        <f t="array" ref="G91">_xlfn.SWITCH(F79,1,(22),2,(C95),3,(22),4,(""),5,(24),6,(22),7,(24),8,(24),9,(24),10,(25),11,(25),12,(26),13,(C88),15,(24),16,(26),18,(C80),19,(25),20,(C90),22,(25),24,(C91),29,(26),36,(26),44,(C94),)</f>
        <v/>
      </c>
      <c r="H91" s="212" t="s">
        <v>83</v>
      </c>
      <c r="J91" s="64"/>
      <c r="K91" s="473" t="str" cm="1">
        <f t="array" ref="K91">_xlfn.SWITCH(F79,1,(J57),2,(""),3,(J57),4,(""),5,(""),6,(J57),7,(""),8,(24),9,(""),11,(""),13,(""),15,(""),18,(""),20,(""),24,(""),28,(""),36,(""),44,(""),45,(J57),47,(J57),)</f>
        <v/>
      </c>
      <c r="L91" s="64"/>
      <c r="M91" s="64"/>
      <c r="N91" s="64"/>
      <c r="O91" s="64"/>
      <c r="P91" s="64"/>
      <c r="Q91" s="64"/>
    </row>
    <row r="92" spans="1:17" x14ac:dyDescent="0.25">
      <c r="A92" s="2" t="str">
        <f>Language!B587</f>
        <v>25" Spinergy X Däck Marat. Plus Vit</v>
      </c>
      <c r="B92" s="1">
        <v>2980</v>
      </c>
      <c r="D92" s="479">
        <f>IF(E92=0,"0",(VLOOKUP(E92,GP!$A$1:$C$5787,3,FALSE)))</f>
        <v>3737</v>
      </c>
      <c r="E92" s="2">
        <v>1100285</v>
      </c>
      <c r="F92" s="430"/>
      <c r="J92" s="64"/>
      <c r="K92" s="64"/>
      <c r="L92" s="64"/>
      <c r="M92" s="64"/>
      <c r="N92" s="64"/>
      <c r="O92" s="64"/>
      <c r="P92" s="64"/>
      <c r="Q92" s="64"/>
    </row>
    <row r="93" spans="1:17" x14ac:dyDescent="0.25">
      <c r="A93" s="2" t="str">
        <f>Language!B588</f>
        <v>26" Spinergy X Right Run White</v>
      </c>
      <c r="B93" s="1">
        <v>2601</v>
      </c>
      <c r="D93" s="479">
        <f>IF(E93=0,"0",(VLOOKUP(E93,GP!$A$1:$C$5787,3,FALSE)))</f>
        <v>3548</v>
      </c>
      <c r="E93" s="2">
        <v>1100166</v>
      </c>
      <c r="F93" s="430"/>
      <c r="J93" s="64"/>
      <c r="K93" s="64"/>
      <c r="L93" s="64"/>
      <c r="M93" s="64"/>
      <c r="N93" s="64"/>
      <c r="O93" s="64"/>
      <c r="P93" s="64"/>
      <c r="Q93" s="64"/>
    </row>
    <row r="94" spans="1:17" x14ac:dyDescent="0.25">
      <c r="A94" s="2" t="str">
        <f>Language!B589</f>
        <v>26" Spinergy X Däck Marat. Plus White</v>
      </c>
      <c r="B94" s="1">
        <v>3140</v>
      </c>
      <c r="D94" s="479">
        <f>IF(E94=0,"0",(VLOOKUP(E94,GP!$A$1:$C$5787,3,FALSE)))</f>
        <v>3737</v>
      </c>
      <c r="E94" s="2">
        <v>1100286</v>
      </c>
      <c r="F94" s="430"/>
      <c r="G94" s="182" t="str" cm="1">
        <f t="array" ref="G94">_xlfn.SWITCH(F79,1,(E85),2,(E95),3,(E84),4,(""),5,(E96),6,(E86),7,(E81),8,(E82),9,(E83),10,(E87),11,(E88),12,(E89),13,(E88),15,(E80),16,(E90),18,(E80),19,(E91),20,(E90),22,(E92),24,(E91),29,(E93),36,(E94),44,(E94),)</f>
        <v/>
      </c>
      <c r="H94" s="212" t="s">
        <v>52</v>
      </c>
      <c r="J94" s="64"/>
      <c r="K94" s="64"/>
      <c r="L94" s="64"/>
      <c r="M94" s="64"/>
      <c r="N94" s="64"/>
      <c r="O94" s="64"/>
      <c r="P94" s="64"/>
      <c r="Q94" s="64"/>
    </row>
    <row r="95" spans="1:17" x14ac:dyDescent="0.25">
      <c r="A95" s="2" t="str">
        <f>Language!B590</f>
        <v>Enhandsdrift</v>
      </c>
      <c r="B95" s="1">
        <v>3500</v>
      </c>
      <c r="D95" s="479" t="str">
        <f>IF(E95=0,"0",(VLOOKUP(E95,GP!$A$1:$C$5787,3,FALSE)))</f>
        <v>0</v>
      </c>
      <c r="E95" s="2">
        <f>'S3 models'!J91</f>
        <v>0</v>
      </c>
      <c r="F95" s="430"/>
      <c r="J95" s="64"/>
      <c r="K95" s="64"/>
      <c r="L95" s="64"/>
      <c r="M95" s="64"/>
      <c r="N95" s="64"/>
      <c r="O95" s="64"/>
      <c r="P95" s="64"/>
      <c r="Q95" s="64"/>
    </row>
    <row r="96" spans="1:17" x14ac:dyDescent="0.25">
      <c r="A96" s="2" t="str">
        <f>Language!B591</f>
        <v>Drivhjul 24x2" MTB</v>
      </c>
      <c r="B96" s="1">
        <v>4280</v>
      </c>
      <c r="D96" s="479">
        <f>IF(E96=0,"0",(VLOOKUP(E96,GP!$A$1:$C$5787,3,FALSE)))</f>
        <v>3032</v>
      </c>
      <c r="E96" s="2">
        <v>1102462</v>
      </c>
      <c r="F96" s="430"/>
      <c r="J96" s="64"/>
      <c r="K96" s="64"/>
      <c r="L96" s="64"/>
      <c r="M96" s="64"/>
      <c r="N96" s="64"/>
      <c r="O96" s="64"/>
      <c r="P96" s="64"/>
      <c r="Q96" s="64"/>
    </row>
    <row r="97" spans="1:17" x14ac:dyDescent="0.25">
      <c r="A97" s="2"/>
      <c r="B97" s="190">
        <f>G87</f>
        <v>0</v>
      </c>
      <c r="C97" s="757"/>
      <c r="D97" s="725">
        <f>(G89)*2</f>
        <v>0</v>
      </c>
      <c r="E97" s="164" t="str">
        <f>G94</f>
        <v/>
      </c>
      <c r="F97" s="430" t="s">
        <v>4845</v>
      </c>
      <c r="J97" s="64"/>
      <c r="K97" s="64"/>
      <c r="L97" s="64"/>
      <c r="M97" s="64"/>
      <c r="N97" s="64"/>
      <c r="O97" s="64"/>
      <c r="P97" s="64"/>
      <c r="Q97" s="64"/>
    </row>
    <row r="98" spans="1:17" x14ac:dyDescent="0.25">
      <c r="A98" s="2"/>
      <c r="B98" s="1"/>
      <c r="F98" s="430"/>
      <c r="J98" s="64"/>
      <c r="K98" s="64"/>
      <c r="L98" s="64"/>
      <c r="M98" s="64"/>
      <c r="N98" s="64"/>
      <c r="O98" s="64"/>
      <c r="P98" s="64"/>
      <c r="Q98" s="64"/>
    </row>
    <row r="99" spans="1:17" x14ac:dyDescent="0.25">
      <c r="A99" s="254" t="s">
        <v>98</v>
      </c>
      <c r="B99" s="204"/>
      <c r="C99" s="204"/>
      <c r="D99" s="202"/>
      <c r="E99" s="205"/>
      <c r="F99" s="428" t="b">
        <v>0</v>
      </c>
      <c r="J99" s="64"/>
      <c r="K99" s="64"/>
      <c r="L99" s="64"/>
      <c r="M99" s="64"/>
      <c r="N99" s="64"/>
      <c r="O99" s="64"/>
      <c r="P99" s="64"/>
      <c r="Q99" s="64"/>
    </row>
    <row r="100" spans="1:17" x14ac:dyDescent="0.25">
      <c r="A100" s="2" t="str">
        <f>Language!B276</f>
        <v xml:space="preserve"> reTyre Traction 24” kpl par</v>
      </c>
      <c r="B100" s="2"/>
      <c r="C100" s="198"/>
      <c r="D100" s="1">
        <f>IF(E100=0,"0",(VLOOKUP(E100,GP!$A$1:$C$5787,3,FALSE)))</f>
        <v>1300</v>
      </c>
      <c r="E100" s="2">
        <f>1100300</f>
        <v>1100300</v>
      </c>
      <c r="F100" s="430"/>
      <c r="G100" s="182" t="str" cm="1">
        <f t="array" ref="G100">_xlfn.SWITCH(F99,TRUE,(D100),"0")</f>
        <v>0</v>
      </c>
      <c r="H100" s="212" t="s">
        <v>43</v>
      </c>
    </row>
    <row r="101" spans="1:17" x14ac:dyDescent="0.25">
      <c r="A101" s="2" t="str">
        <f>Language!B277</f>
        <v xml:space="preserve"> reTyre Traction 25”  kpl par</v>
      </c>
      <c r="B101" s="2"/>
      <c r="C101" s="198"/>
      <c r="D101" s="1">
        <f>IF(E101=0,"0",(VLOOKUP(E101,GP!$A$1:$C$5787,3,FALSE)))</f>
        <v>1300</v>
      </c>
      <c r="E101" s="2">
        <v>1100305</v>
      </c>
      <c r="F101" s="430"/>
      <c r="G101" s="267" t="str" cm="1">
        <f t="array" ref="G101">_xlfn.SWITCH(F79,1,("NA"),2,(C95),3,("NA"),4,(""),5,("04"),6,("NA"),7,("04"),8,("04"),9,("04"),10,("05"),11,("05"),12,(26),13,(C88),15,("04"),16,("06"),18,(C80),19,("05"),20,(C90),22,("05"),24,(C91),29,("06"),36,("06"),44,(C94),)</f>
        <v/>
      </c>
      <c r="H101" s="212" t="s">
        <v>83</v>
      </c>
    </row>
    <row r="102" spans="1:17" x14ac:dyDescent="0.25">
      <c r="A102" s="2" t="str">
        <f>Language!B278</f>
        <v xml:space="preserve"> reTyre Traction 26”  kpl par</v>
      </c>
      <c r="B102" s="2"/>
      <c r="C102" s="198"/>
      <c r="D102" s="1">
        <f>IF(E102=0,"0",(VLOOKUP(E102,GP!$A$1:$C$5787,3,FALSE)))</f>
        <v>1300</v>
      </c>
      <c r="E102" s="2">
        <v>1100306</v>
      </c>
      <c r="F102" s="430"/>
      <c r="G102" s="182" cm="1">
        <f t="array" ref="G102">_xlfn.SWITCH(F99,1,(E100),2,(""),3,(E101),4,(E102),5,(E122),6,(E68),7,(" "),8,0,)</f>
        <v>0</v>
      </c>
      <c r="H102" s="212" t="s">
        <v>52</v>
      </c>
    </row>
    <row r="103" spans="1:17" x14ac:dyDescent="0.25">
      <c r="A103" s="2"/>
      <c r="B103" s="1"/>
      <c r="C103" s="756"/>
      <c r="D103" s="723" t="str">
        <f>G100</f>
        <v>0</v>
      </c>
      <c r="E103" s="164" t="str" cm="1">
        <f t="array" ref="E103">_xlfn.SWITCH(F99,TRUE,(E100),"")</f>
        <v/>
      </c>
      <c r="F103" s="430"/>
      <c r="G103" s="182" cm="1">
        <f t="array" ref="G103">_xlfn.SWITCH(F99,1,("24 cpl pair"),2,(""),3,("25 cpl pair"),4,("26 cpl pair"),5,(A122),6,(A68),7,(" "),8,0,)</f>
        <v>0</v>
      </c>
      <c r="H103" s="212" t="s">
        <v>125</v>
      </c>
      <c r="I103" s="183" t="str" cm="1">
        <f t="array" ref="I103">_xlfn.SWITCH(F99,TRUE,("Ja"),"")</f>
        <v/>
      </c>
      <c r="J103" s="212" t="s">
        <v>125</v>
      </c>
    </row>
    <row r="104" spans="1:17" x14ac:dyDescent="0.25">
      <c r="A104" s="254" t="s">
        <v>5151</v>
      </c>
      <c r="B104" s="204"/>
      <c r="C104" s="204"/>
      <c r="D104" s="202"/>
      <c r="E104" s="205"/>
      <c r="F104" s="428">
        <v>6</v>
      </c>
    </row>
    <row r="105" spans="1:17" x14ac:dyDescent="0.25">
      <c r="A105" s="2" t="str">
        <f>Language!B597</f>
        <v>Titan</v>
      </c>
      <c r="B105" s="1">
        <v>700</v>
      </c>
      <c r="D105" s="479">
        <v>1045</v>
      </c>
      <c r="E105" s="2" t="str">
        <f>190&amp;G91&amp;11</f>
        <v>19011</v>
      </c>
      <c r="F105" s="430"/>
      <c r="G105" s="267" t="str" cm="1">
        <f t="array" ref="G105">_xlfn.SWITCH(F104,1,(A105),2,(A106),3,(A107),4,(A108),5,(A109),6,(""),7,(A81),8,(A82),9,(A83),11,(A87),13,(A88),15,(A89),18,(A80),20,(A90),24,(A91),28,(A92),36,(A93),44,(A94),)</f>
        <v/>
      </c>
      <c r="H105" s="212" t="s">
        <v>125</v>
      </c>
    </row>
    <row r="106" spans="1:17" x14ac:dyDescent="0.25">
      <c r="A106" s="2" t="str">
        <f>Language!B598</f>
        <v>Paragrip</v>
      </c>
      <c r="B106" s="1">
        <v>1260</v>
      </c>
      <c r="D106" s="479">
        <v>1010</v>
      </c>
      <c r="E106" s="2" t="str">
        <f>19051&amp;G91&amp;"BT"</f>
        <v>19051BT</v>
      </c>
      <c r="F106" s="430"/>
      <c r="G106" s="182" cm="1">
        <f t="array" ref="G106">_xlfn.SWITCH(F104,1,(D105),2,(D106),3,(D107),4,(D108),5,(D109),6,(0),7,(D81),8,(D82),9,(D83),11,(D87),13,(D88),15,(D89),18,(D80),20,(D90),24,(D91),28,(D92),36,(D93),44,(D94),)</f>
        <v>0</v>
      </c>
      <c r="H106" s="212" t="s">
        <v>43</v>
      </c>
    </row>
    <row r="107" spans="1:17" x14ac:dyDescent="0.25">
      <c r="A107" s="2" t="str">
        <f>Language!B599</f>
        <v>Tetragrip</v>
      </c>
      <c r="B107" s="1">
        <v>1300</v>
      </c>
      <c r="D107" s="479">
        <v>1010</v>
      </c>
      <c r="E107" s="2" t="str">
        <f>19052&amp;G91&amp;"BT"</f>
        <v>19052BT</v>
      </c>
      <c r="F107" s="430"/>
      <c r="G107" s="182" cm="1">
        <f t="array" ref="G107">_xlfn.SWITCH(F104,1,(B105),2,(B106),3,(B107),4,(B108),5,(B109),6,(0),7,(B81),8,(B82),9,(B83),11,(B87),13,(B88),15,(B89),18,(B80),20,(B90),24,(B91),28,(B92),36,(B93),44,(B94),)</f>
        <v>0</v>
      </c>
      <c r="H107" s="212" t="s">
        <v>69</v>
      </c>
    </row>
    <row r="108" spans="1:17" x14ac:dyDescent="0.25">
      <c r="A108" s="2" t="str">
        <f>Language!B600</f>
        <v>Maxgrip</v>
      </c>
      <c r="B108" s="1">
        <v>1200</v>
      </c>
      <c r="D108" s="479">
        <v>1326</v>
      </c>
      <c r="E108" s="2">
        <v>1903060</v>
      </c>
      <c r="F108" s="430"/>
      <c r="G108" s="267" t="str" cm="1">
        <f t="array" ref="G108">_xlfn.SWITCH(F104,1,(E105),2,(E106),3,(E107),4,(E108),5,(E109),6,(""),7,(E81),8,(E82),9,(E83),11,(E87),13,(E88),15,(E89),18,(E80),20,(E90),24,(E91),28,(E92),36,(E93),44,(E94),)</f>
        <v/>
      </c>
      <c r="H108" s="212" t="s">
        <v>52</v>
      </c>
    </row>
    <row r="109" spans="1:17" x14ac:dyDescent="0.25">
      <c r="A109" s="2" t="str">
        <f>Language!B601</f>
        <v>Aluminium</v>
      </c>
      <c r="B109" s="1">
        <v>640</v>
      </c>
      <c r="D109" s="479">
        <v>1283</v>
      </c>
      <c r="E109" s="2" t="str">
        <f>190&amp;G109</f>
        <v>190</v>
      </c>
      <c r="F109" s="430"/>
      <c r="G109" s="267" t="str" cm="1">
        <f t="array" ref="G109">_xlfn.SWITCH(F79,1,("N/A"),2,(A18),3,("N/A"),4,(""),5,(2430),6,("N/A"),7,(2430),8,(2430),9,(2430),11,(4405),13,(4405),15,(4406),18,(2430),20,(4406),24,(4405),28,(4405),36,(4406),44,(4406),45,("N/A"),47,("N/A"),)</f>
        <v/>
      </c>
      <c r="H109" s="212" t="s">
        <v>124</v>
      </c>
      <c r="I109" s="212"/>
    </row>
    <row r="110" spans="1:17" x14ac:dyDescent="0.25">
      <c r="B110" s="190">
        <f>G107</f>
        <v>0</v>
      </c>
      <c r="C110" s="757"/>
      <c r="D110" s="723">
        <f>(G106)*2</f>
        <v>0</v>
      </c>
      <c r="E110" s="164" t="str">
        <f>G108</f>
        <v/>
      </c>
      <c r="F110" s="430" t="s">
        <v>4845</v>
      </c>
    </row>
    <row r="111" spans="1:17" x14ac:dyDescent="0.25">
      <c r="A111" s="201" t="s">
        <v>85</v>
      </c>
      <c r="B111" s="204"/>
      <c r="C111" s="204"/>
      <c r="D111" s="202"/>
      <c r="E111" s="205"/>
      <c r="F111" s="430"/>
      <c r="G111" s="267" t="str" cm="1">
        <f t="array" ref="G111">_xlfn.SWITCH(F112,1,(A112),2,(A113),3,(A114),4,(""),5,(A115),6,(A116),7,(""),8,0,)</f>
        <v/>
      </c>
      <c r="H111" s="212" t="s">
        <v>125</v>
      </c>
    </row>
    <row r="112" spans="1:17" x14ac:dyDescent="0.25">
      <c r="A112" s="2" t="str">
        <f>Language!B603</f>
        <v>Sidoskydd S3</v>
      </c>
      <c r="B112" s="1">
        <v>628</v>
      </c>
      <c r="D112" s="715">
        <v>1660</v>
      </c>
      <c r="E112" s="2" t="str">
        <f>440&amp;G91&amp;30</f>
        <v>44030</v>
      </c>
      <c r="F112" s="428">
        <v>4</v>
      </c>
      <c r="G112" s="267" t="str" cm="1">
        <f t="array" ref="G112">_xlfn.SWITCH(F79,1,("NA"),2,(A18),3,("NA"),4,(""),5,(E95),6,("NA"),7,(12),8,(12),9,(12),11,(12),13,(12),15,(13),18,(12),20,(13),24,(12),28,(12),36,(13),44,(13),)</f>
        <v/>
      </c>
      <c r="H112" t="s">
        <v>159</v>
      </c>
    </row>
    <row r="113" spans="1:11" x14ac:dyDescent="0.25">
      <c r="A113" s="2" t="str">
        <f>Language!B604</f>
        <v>Armstöd</v>
      </c>
      <c r="B113" s="1">
        <v>1530</v>
      </c>
      <c r="D113" s="715">
        <v>2770</v>
      </c>
      <c r="E113" s="2" t="str">
        <f>440&amp;G112&amp;"00"</f>
        <v>44000</v>
      </c>
      <c r="F113" s="430"/>
      <c r="G113" s="267" t="str" cm="1">
        <f t="array" ref="G113">_xlfn.SWITCH(F112,1,(E112),2,(E113),3,(E114),4,(""),5,(E115),6,(E116),7,(" "),8,0,)</f>
        <v/>
      </c>
      <c r="H113" s="183" t="str" cm="1">
        <f t="array" ref="H113">_xlfn.SWITCH(F79,1,("NA"),2,(A18),3,("NA"),4,(""),5,(E95),6,("NA"),7,(10),8,(10),9,(10),11,(15),13,(15),15,(16),18,(10),20,(16),24,(15),28,(15),36,(16),44,(16),)</f>
        <v/>
      </c>
      <c r="I113" t="s">
        <v>86</v>
      </c>
      <c r="J113" s="212" t="s">
        <v>52</v>
      </c>
    </row>
    <row r="114" spans="1:11" x14ac:dyDescent="0.25">
      <c r="A114" s="2" t="str">
        <f>Language!B605</f>
        <v>Carbon Utan skärm</v>
      </c>
      <c r="B114" s="1">
        <v>750</v>
      </c>
      <c r="D114" s="715">
        <v>3730</v>
      </c>
      <c r="E114" s="2" t="str">
        <f>442&amp;H113&amp;30</f>
        <v>44230</v>
      </c>
      <c r="F114" s="430"/>
      <c r="H114" s="265" t="str" cm="1">
        <f t="array" ref="H114">_xlfn.SWITCH(F79,1,("NA"),2,(A18),3,("NA"),4,(""),5,(E95),6,("NA"),7,(20),8,(20),9,(20),11,(25),13,(25),15,(26),18,(20),20,(26),24,(25),28,(25),36,(26),44,(26),)</f>
        <v/>
      </c>
      <c r="I114" t="s">
        <v>87</v>
      </c>
    </row>
    <row r="115" spans="1:11" x14ac:dyDescent="0.25">
      <c r="A115" s="2" t="str">
        <f>Language!B606</f>
        <v>Carbon Liten skärm</v>
      </c>
      <c r="B115" s="1">
        <v>800</v>
      </c>
      <c r="D115" s="715">
        <v>3730</v>
      </c>
      <c r="E115" s="2" t="str">
        <f>442&amp;H114&amp;30</f>
        <v>44230</v>
      </c>
      <c r="F115" s="430"/>
      <c r="H115" s="183" t="str" cm="1">
        <f t="array" ref="H115">_xlfn.SWITCH(F79,1,("NA"),2,(A18),3,("NA"),4,(""),5,(E95),6,("NA"),7,(30),8,(30),9,(30),11,(35),13,(35),15,(36),18,(30),20,(36),24,(35),28,(35),36,(36),44,(36),)</f>
        <v/>
      </c>
      <c r="I115" t="s">
        <v>88</v>
      </c>
    </row>
    <row r="116" spans="1:11" x14ac:dyDescent="0.25">
      <c r="A116" s="2" t="str">
        <f>Language!B607</f>
        <v>Carbon Stor skärm</v>
      </c>
      <c r="B116" s="1">
        <v>900</v>
      </c>
      <c r="D116" s="715">
        <v>3730</v>
      </c>
      <c r="E116" s="2" t="str">
        <f>442&amp;H115&amp;30</f>
        <v>44230</v>
      </c>
      <c r="F116" s="430"/>
      <c r="G116" s="182" cm="1">
        <f t="array" ref="G116">_xlfn.SWITCH(F112,1,(D112),2,(D113),3,(D114),4,(0),5,(D115),6,(D116),7,(" "),8,0,)</f>
        <v>0</v>
      </c>
      <c r="H116" s="212" t="s">
        <v>43</v>
      </c>
    </row>
    <row r="117" spans="1:11" x14ac:dyDescent="0.25">
      <c r="A117" s="242"/>
      <c r="B117" s="190">
        <f>G117</f>
        <v>0</v>
      </c>
      <c r="C117" s="757"/>
      <c r="D117" s="725">
        <f>G116</f>
        <v>0</v>
      </c>
      <c r="E117" s="164" t="str">
        <f>G113</f>
        <v/>
      </c>
      <c r="F117" s="430"/>
      <c r="G117" s="267" cm="1">
        <f t="array" ref="G117">_xlfn.SWITCH(F112,1,(B112),2,(B113),3,(B114),4,(0),5,(B115),6,(B116),7,(0),8,0,)</f>
        <v>0</v>
      </c>
      <c r="H117" s="212" t="s">
        <v>69</v>
      </c>
    </row>
    <row r="118" spans="1:11" x14ac:dyDescent="0.25">
      <c r="A118" s="2"/>
      <c r="B118" s="1"/>
      <c r="F118" s="428">
        <v>3</v>
      </c>
    </row>
    <row r="119" spans="1:11" x14ac:dyDescent="0.25">
      <c r="A119" s="2" t="str">
        <f>Language!B608</f>
        <v>Körhandtag HS</v>
      </c>
      <c r="B119" s="1">
        <v>712</v>
      </c>
      <c r="D119" s="715">
        <v>1925</v>
      </c>
      <c r="E119" s="2" t="s">
        <v>45</v>
      </c>
      <c r="F119" s="430"/>
      <c r="G119" s="182" t="str" cm="1">
        <f t="array" ref="G119">_xlfn.SWITCH(F118,1,(A119),2,(A120),3,(""),4,(A121),5,(A122),6,(A68),7,(""),8,0,)</f>
        <v/>
      </c>
      <c r="H119" s="212" t="s">
        <v>125</v>
      </c>
    </row>
    <row r="120" spans="1:11" x14ac:dyDescent="0.25">
      <c r="A120" s="2" t="str">
        <f>Language!B609</f>
        <v>Körhandtag HS +10cm</v>
      </c>
      <c r="B120" s="1">
        <v>950</v>
      </c>
      <c r="D120" s="715">
        <v>1925</v>
      </c>
      <c r="E120" s="2" t="s">
        <v>15</v>
      </c>
      <c r="F120" s="430"/>
      <c r="G120" s="182" cm="1">
        <f t="array" ref="G120">_xlfn.SWITCH(F118,1,(B119),2,(B120),3,(0),4,(B121),5,(B122),6,(B68),7,(0),8,0,)</f>
        <v>0</v>
      </c>
      <c r="H120" s="212" t="s">
        <v>69</v>
      </c>
    </row>
    <row r="121" spans="1:11" x14ac:dyDescent="0.25">
      <c r="A121" s="2" t="str">
        <f>Language!B610</f>
        <v xml:space="preserve">Fällbara körhandtag </v>
      </c>
      <c r="B121" s="1">
        <v>244</v>
      </c>
      <c r="D121" s="715">
        <v>860</v>
      </c>
      <c r="E121" s="2">
        <v>4245000</v>
      </c>
      <c r="F121" s="430"/>
      <c r="G121" s="182" t="str" cm="1">
        <f t="array" ref="G121">_xlfn.SWITCH(F118,1,(E119),2,(E120),3,(""),4,(E121),5,(E122),6,(E68),7,(" "),8,0,)</f>
        <v/>
      </c>
      <c r="H121" s="212" t="s">
        <v>52</v>
      </c>
    </row>
    <row r="122" spans="1:11" x14ac:dyDescent="0.25">
      <c r="A122" s="2" t="str">
        <f>Language!B611</f>
        <v>Körbåge</v>
      </c>
      <c r="B122" s="1">
        <v>1040</v>
      </c>
      <c r="D122" s="715">
        <v>1361</v>
      </c>
      <c r="E122" s="2" t="str">
        <f>42400&amp;G24&amp;G36</f>
        <v>42400  VER2</v>
      </c>
      <c r="F122" s="430"/>
      <c r="G122" s="182" cm="1">
        <f t="array" ref="G122">_xlfn.SWITCH(F118,1,(D119),2,(D120),3,(0),4,(D121),5,(D122),6,(D68),7,(0),8,0,)</f>
        <v>0</v>
      </c>
      <c r="H122" s="212" t="s">
        <v>43</v>
      </c>
    </row>
    <row r="123" spans="1:11" x14ac:dyDescent="0.25">
      <c r="A123" s="242"/>
      <c r="B123" s="190">
        <f>G120</f>
        <v>0</v>
      </c>
      <c r="C123" s="757"/>
      <c r="D123" s="725">
        <f>G122</f>
        <v>0</v>
      </c>
      <c r="E123" s="164" t="str">
        <f>G121</f>
        <v/>
      </c>
      <c r="F123" s="430"/>
      <c r="H123" t="s">
        <v>89</v>
      </c>
    </row>
    <row r="124" spans="1:11" x14ac:dyDescent="0.25">
      <c r="A124" s="2" t="str">
        <f>Language!B612</f>
        <v>Tippskydd</v>
      </c>
      <c r="B124" s="1">
        <v>570</v>
      </c>
      <c r="D124" s="479">
        <v>1218</v>
      </c>
      <c r="F124" s="430"/>
      <c r="G124" s="164" t="str">
        <f>435&amp;H124</f>
        <v>435</v>
      </c>
      <c r="H124" s="183" t="str" cm="1">
        <f t="array" ref="H124">_xlfn.SWITCH(F2,1,("3000"),2,("5000"),3,("3080"),4,("3000"),5,("3000"),6,("3000"),7,("3000"),8,(""),9,(" "),)</f>
        <v/>
      </c>
    </row>
    <row r="125" spans="1:11" x14ac:dyDescent="0.25">
      <c r="A125" s="242"/>
      <c r="B125" s="234" t="str" cm="1">
        <f t="array" ref="B125">_xlfn.SWITCH(F125,TRUE,(B124),"0")</f>
        <v>0</v>
      </c>
      <c r="C125" s="234"/>
      <c r="D125" s="725" t="str" cm="1">
        <f t="array" ref="D125">_xlfn.SWITCH(F125,TRUE,(D124),"0")</f>
        <v>0</v>
      </c>
      <c r="E125" s="242" t="str" cm="1">
        <f t="array" ref="E125">_xlfn.SWITCH(F125,TRUE,(G124),"")</f>
        <v/>
      </c>
      <c r="F125" s="428" t="b">
        <v>0</v>
      </c>
      <c r="G125" s="164" t="str" cm="1">
        <f t="array" ref="G125">_xlfn.SWITCH(F125,TRUE,("JA"),"")</f>
        <v/>
      </c>
      <c r="H125" s="212" t="s">
        <v>125</v>
      </c>
    </row>
    <row r="126" spans="1:11" x14ac:dyDescent="0.25">
      <c r="A126" s="2"/>
      <c r="B126" s="1"/>
      <c r="F126" s="430"/>
      <c r="G126" s="267" cm="1">
        <f t="array" ref="G126">_xlfn.SWITCH(F127,1,(0),2,(D128),3,(D130),4,(D129),5,(0),6,(D127),7,(0),8,0,)</f>
        <v>0</v>
      </c>
      <c r="H126" s="212" t="s">
        <v>43</v>
      </c>
    </row>
    <row r="127" spans="1:11" x14ac:dyDescent="0.25">
      <c r="A127" s="2" t="str">
        <f>Language!B613</f>
        <v>Dyna 2.5 cm</v>
      </c>
      <c r="B127" s="1">
        <v>0</v>
      </c>
      <c r="D127" s="715">
        <v>836</v>
      </c>
      <c r="E127" s="2" t="str">
        <f>572&amp;G24&amp;I127</f>
        <v xml:space="preserve">572 </v>
      </c>
      <c r="F127" s="428">
        <v>5</v>
      </c>
      <c r="G127" s="267" t="str" cm="1">
        <f t="array" ref="G127">_xlfn.SWITCH(F127,1,(E127),2,(E128),3,(E130),4,(E129),5,(""),6,(E127),7,(" "),8,0,)</f>
        <v/>
      </c>
      <c r="H127" s="212" t="s">
        <v>52</v>
      </c>
      <c r="I127" s="183" t="str" cm="1">
        <f t="array" ref="I127">_xlfn.SWITCH(F2,1,(40),2,(35),3,(40),4,(40),5,(35),6,(40),7,(35),8,(""),9,(0),)</f>
        <v/>
      </c>
      <c r="J127" s="212" t="s">
        <v>52</v>
      </c>
      <c r="K127" t="s">
        <v>5152</v>
      </c>
    </row>
    <row r="128" spans="1:11" x14ac:dyDescent="0.25">
      <c r="A128" s="2" t="str">
        <f>Language!B614</f>
        <v>Dyna 5 cm</v>
      </c>
      <c r="B128" s="1">
        <v>0</v>
      </c>
      <c r="D128" s="715">
        <v>836</v>
      </c>
      <c r="E128" s="2" t="str">
        <f>575&amp;G24&amp;I127</f>
        <v xml:space="preserve">575 </v>
      </c>
      <c r="F128" s="430"/>
      <c r="G128" s="267" t="str" cm="1">
        <f t="array" ref="G128">_xlfn.SWITCH(F127,1,(A127),2,(A128),3,(A130),4,(A129),5,(""),6,(A127),7,(" "),8,0,)</f>
        <v/>
      </c>
      <c r="H128" s="212" t="s">
        <v>125</v>
      </c>
    </row>
    <row r="129" spans="1:9" x14ac:dyDescent="0.25">
      <c r="A129" s="2" t="str">
        <f>Language!B211</f>
        <v>Anpassningsbar 2,5cm</v>
      </c>
      <c r="B129" s="1">
        <v>0</v>
      </c>
      <c r="D129" s="715">
        <v>779</v>
      </c>
      <c r="E129" s="2" t="str">
        <f>572&amp;G24&amp;34</f>
        <v>572 34</v>
      </c>
      <c r="F129" s="430"/>
    </row>
    <row r="130" spans="1:9" x14ac:dyDescent="0.25">
      <c r="A130" s="2" t="str">
        <f>Language!B212</f>
        <v>Anpassningsbar 5cm</v>
      </c>
      <c r="B130" s="1">
        <v>0</v>
      </c>
      <c r="D130" s="715">
        <v>779</v>
      </c>
      <c r="E130" s="2" t="str">
        <f>575&amp;G24&amp;34</f>
        <v>575 34</v>
      </c>
      <c r="F130" s="430"/>
    </row>
    <row r="131" spans="1:9" x14ac:dyDescent="0.25">
      <c r="A131" s="242"/>
      <c r="B131" s="190">
        <v>0</v>
      </c>
      <c r="C131" s="757"/>
      <c r="D131" s="725">
        <f>G126</f>
        <v>0</v>
      </c>
      <c r="E131" s="164" t="str">
        <f>G127</f>
        <v/>
      </c>
      <c r="F131" s="430"/>
      <c r="G131" s="771"/>
    </row>
    <row r="132" spans="1:9" x14ac:dyDescent="0.25">
      <c r="A132" s="730" t="str">
        <f>Language!B615</f>
        <v>Kildyna</v>
      </c>
      <c r="B132" s="1">
        <v>0</v>
      </c>
      <c r="D132" s="479">
        <v>293</v>
      </c>
      <c r="F132" s="430"/>
      <c r="G132" s="182" t="str">
        <f>57710&amp;G24</f>
        <v xml:space="preserve">57710 </v>
      </c>
      <c r="H132" s="212" t="s">
        <v>52</v>
      </c>
    </row>
    <row r="133" spans="1:9" x14ac:dyDescent="0.25">
      <c r="A133" s="242"/>
      <c r="B133" s="190"/>
      <c r="C133" s="234"/>
      <c r="D133" s="725" t="str" cm="1">
        <f t="array" ref="D133">_xlfn.SWITCH(F133,TRUE,(D132),"0")</f>
        <v>0</v>
      </c>
      <c r="E133" s="164" t="str" cm="1">
        <f t="array" ref="E133">_xlfn.SWITCH(F133,TRUE,(G132),"")</f>
        <v/>
      </c>
      <c r="F133" s="428" t="b">
        <v>0</v>
      </c>
      <c r="G133" s="267" t="str" cm="1">
        <f t="array" ref="G133">_xlfn.SWITCH(F133,TRUE,("JA"),"")</f>
        <v/>
      </c>
      <c r="H133" s="212" t="s">
        <v>125</v>
      </c>
    </row>
    <row r="134" spans="1:9" x14ac:dyDescent="0.25">
      <c r="A134" s="2"/>
      <c r="B134" s="1"/>
      <c r="F134" s="430"/>
      <c r="G134" s="182" cm="1">
        <f t="array" ref="G134">_xlfn.SWITCH(F135,1,(C136),2,(0),3,(C135),4,(C121),5,(C122),6,(C68),7,(0),8,0,)</f>
        <v>0</v>
      </c>
      <c r="H134" s="164" t="str" cm="1">
        <f t="array" ref="H134">_xlfn.SWITCH(F79,1,(100),2,(C95),3,(100),4,(""),5,("000"),6,(100),7,("000"),8,("00"),9,("000"),10,("NA"),11,(25),12,("NA"),13,(C88),15,("000"),16,("NA"),18,(C80),19,("NA"),20,(C90),22,("NA"),24,(C91),29,("NA"),36,("NA"),44,(C94),)</f>
        <v/>
      </c>
      <c r="I134" t="s">
        <v>386</v>
      </c>
    </row>
    <row r="135" spans="1:9" x14ac:dyDescent="0.25">
      <c r="A135" s="2" t="str">
        <f>Language!B616</f>
        <v>Ekerskydd med logga</v>
      </c>
      <c r="B135" s="1">
        <v>417</v>
      </c>
      <c r="D135" s="479">
        <v>909</v>
      </c>
      <c r="E135" s="2" t="str">
        <f>4500&amp;H134</f>
        <v>4500</v>
      </c>
      <c r="F135" s="428">
        <v>2</v>
      </c>
      <c r="G135" s="266" t="str" cm="1">
        <f t="array" ref="G135">_xlfn.SWITCH(F135,1,(E136),2,(""),3,(E135),4,(E121),5,(E122),6,(E68),7,(" "),8,0,)</f>
        <v/>
      </c>
      <c r="H135" s="164" t="str" cm="1">
        <f t="array" ref="H135">_xlfn.SWITCH(F79,1,(112),2,(C95),3,(112),4,(""),5,("011"),6,("011"),7,("011"),8,("00"),9,("011"),10,("NA"),11,(25),12,("NA"),13,(C88),15,("011"),16,("NA"),18,(C80),19,("NA"),20,(C90),22,("NA"),24,(C91),29,("NA"),36,("NA"),44,(C94),)</f>
        <v/>
      </c>
      <c r="I135" t="s">
        <v>386</v>
      </c>
    </row>
    <row r="136" spans="1:9" x14ac:dyDescent="0.25">
      <c r="A136" s="2" t="str">
        <f>Language!B617</f>
        <v>Ekerskydd utan logga</v>
      </c>
      <c r="B136" s="1">
        <v>417</v>
      </c>
      <c r="C136" s="196"/>
      <c r="D136" s="479">
        <v>909</v>
      </c>
      <c r="E136" s="2" t="str">
        <f>4500&amp;H135</f>
        <v>4500</v>
      </c>
      <c r="F136" s="430"/>
      <c r="G136" s="267" cm="1">
        <f t="array" ref="G136">_xlfn.SWITCH(F135,1,(D136),2,(0),3,(D135),4,(D121),5,(D122),6,(D68),7,(0),8,0,)</f>
        <v>0</v>
      </c>
      <c r="I136" s="212" t="s">
        <v>43</v>
      </c>
    </row>
    <row r="137" spans="1:9" x14ac:dyDescent="0.25">
      <c r="A137" s="242"/>
      <c r="B137" s="190">
        <f>G134</f>
        <v>0</v>
      </c>
      <c r="C137" s="757"/>
      <c r="D137" s="725">
        <f>G136</f>
        <v>0</v>
      </c>
      <c r="E137" s="164" t="str">
        <f>G135</f>
        <v/>
      </c>
      <c r="F137" s="430"/>
      <c r="G137" s="182" t="str" cm="1">
        <f t="array" ref="G137">_xlfn.SWITCH(F135,1,("Ingen logga"),2,(""),3,("Med logga"),4,(C121),5,(C122),6,(C68),7,(""),8,0,)</f>
        <v/>
      </c>
      <c r="H137" s="212" t="s">
        <v>125</v>
      </c>
    </row>
    <row r="138" spans="1:9" x14ac:dyDescent="0.25">
      <c r="A138" s="2" t="str">
        <f>Language!B618</f>
        <v>Ekerskydd med tema</v>
      </c>
      <c r="B138" s="1"/>
      <c r="F138" s="430"/>
    </row>
    <row r="139" spans="1:9" x14ac:dyDescent="0.25">
      <c r="A139" s="2" t="str">
        <f>Language!B619</f>
        <v>Splash</v>
      </c>
      <c r="B139" s="1">
        <v>417</v>
      </c>
      <c r="D139" s="715">
        <v>1638</v>
      </c>
      <c r="E139" s="2" t="str">
        <f>45003&amp;G140</f>
        <v>45003</v>
      </c>
      <c r="F139" s="428">
        <v>5</v>
      </c>
      <c r="G139" s="182" t="str" cm="1">
        <f t="array" ref="G139">_xlfn.SWITCH(F139,1,(A139),2,(A140),3,(A141),4,(A142),5,(""),6,(A127),7,(""),8,0,)</f>
        <v/>
      </c>
      <c r="H139" s="212" t="s">
        <v>125</v>
      </c>
    </row>
    <row r="140" spans="1:9" x14ac:dyDescent="0.25">
      <c r="A140" s="2" t="str">
        <f>Language!B620</f>
        <v>Car rim</v>
      </c>
      <c r="B140" s="1">
        <v>417</v>
      </c>
      <c r="D140" s="715">
        <v>1638</v>
      </c>
      <c r="E140" s="2" t="str">
        <f>45001&amp;G140</f>
        <v>45001</v>
      </c>
      <c r="F140" s="430"/>
      <c r="G140" s="182" t="str" cm="1">
        <f t="array" ref="G140">_xlfn.SWITCH(F79,1,(22),2,(C95),3,(22),4,(""),5,(24),6,(22),7,(24),8,(24),9,(24),10,("NA"),11,("NA"),12,("NA"),13,(C88),15,(24),16,("NA"),18,(C80),19,("NA"),20,(C90),22,("NA"),24,(C91),29,("NA"),36,("NA"),44,(C94),)</f>
        <v/>
      </c>
      <c r="H140" t="s">
        <v>386</v>
      </c>
    </row>
    <row r="141" spans="1:9" x14ac:dyDescent="0.25">
      <c r="A141" s="2" t="str">
        <f>Language!B621</f>
        <v>Wild animals</v>
      </c>
      <c r="B141" s="1">
        <v>417</v>
      </c>
      <c r="D141" s="715">
        <v>1638</v>
      </c>
      <c r="E141" s="2" t="str">
        <f>45004&amp;G140</f>
        <v>45004</v>
      </c>
      <c r="F141" s="430"/>
      <c r="G141" s="182" cm="1">
        <f t="array" ref="G141">_xlfn.SWITCH(F139,1,(B139),2,(B140),3,(B141),4,(B142),5,(0),6,(B127),7,(0),8,0,)</f>
        <v>0</v>
      </c>
      <c r="H141" s="212" t="s">
        <v>69</v>
      </c>
    </row>
    <row r="142" spans="1:9" x14ac:dyDescent="0.25">
      <c r="A142" s="2" t="str">
        <f>Language!B622</f>
        <v>Smiley</v>
      </c>
      <c r="B142" s="741">
        <v>417</v>
      </c>
      <c r="D142" s="715">
        <v>1638</v>
      </c>
      <c r="E142" s="2">
        <f>G141</f>
        <v>0</v>
      </c>
      <c r="F142" s="430"/>
      <c r="G142" s="182" cm="1">
        <f t="array" ref="G142">_xlfn.SWITCH(F138,1,(D138),2,(D139),3,(D140),4,(D141),5,(0),6,(D126),7,(0),8,0,)</f>
        <v>0</v>
      </c>
      <c r="H142" s="212" t="s">
        <v>52</v>
      </c>
    </row>
    <row r="143" spans="1:9" x14ac:dyDescent="0.25">
      <c r="A143" s="242"/>
      <c r="B143" s="190">
        <f>G141</f>
        <v>0</v>
      </c>
      <c r="C143" s="757"/>
      <c r="D143" s="725">
        <f>G143</f>
        <v>0</v>
      </c>
      <c r="E143" s="164">
        <f>G142</f>
        <v>0</v>
      </c>
      <c r="F143" s="430"/>
      <c r="G143" s="182" cm="1">
        <f t="array" ref="G143">_xlfn.SWITCH(F139,1,(D139),2,(D140),3,(D141),4,(D142),5,(0),6,(D127),7,(0),8,0,)</f>
        <v>0</v>
      </c>
      <c r="H143" s="212" t="s">
        <v>43</v>
      </c>
    </row>
    <row r="144" spans="1:9" x14ac:dyDescent="0.25">
      <c r="A144" s="2"/>
      <c r="B144" s="1"/>
      <c r="F144" s="430"/>
    </row>
    <row r="145" spans="1:15" x14ac:dyDescent="0.25">
      <c r="A145" s="2" t="str">
        <f>Language!B623</f>
        <v>Rörskydd, fram</v>
      </c>
      <c r="B145" s="1" cm="1">
        <f t="array" ref="B145">_xlfn.SWITCH(F145,TRUE,(132),)</f>
        <v>0</v>
      </c>
      <c r="D145" s="715" cm="1">
        <f t="array" ref="D145">_xlfn.SWITCH(F145,TRUE,(N145),"0")*2</f>
        <v>0</v>
      </c>
      <c r="E145">
        <v>9900251</v>
      </c>
      <c r="F145" s="428" t="b">
        <v>0</v>
      </c>
      <c r="H145" s="1">
        <v>132</v>
      </c>
      <c r="I145" s="183" t="str" cm="1">
        <f t="array" ref="I145">_xlfn.SWITCH(F145,TRUE,(Language!B324),"")</f>
        <v/>
      </c>
      <c r="J145" s="212" t="s">
        <v>125</v>
      </c>
      <c r="L145" s="183" t="str" cm="1">
        <f t="array" ref="L145">_xlfn.SWITCH(F145,TRUE,(E145),"")</f>
        <v/>
      </c>
      <c r="M145" s="212" t="s">
        <v>52</v>
      </c>
      <c r="N145" s="183">
        <v>88</v>
      </c>
      <c r="O145" s="212" t="s">
        <v>43</v>
      </c>
    </row>
    <row r="146" spans="1:15" x14ac:dyDescent="0.25">
      <c r="A146" s="2" t="str">
        <f>Language!B624</f>
        <v>Rörskydd, Bak</v>
      </c>
      <c r="B146" s="1" cm="1">
        <f t="array" ref="B146">_xlfn.SWITCH(F146,TRUE,(66),)</f>
        <v>0</v>
      </c>
      <c r="D146" s="715" t="str" cm="1">
        <f t="array" ref="D146">_xlfn.SWITCH(F146,TRUE,(N146),"0")</f>
        <v>0</v>
      </c>
      <c r="E146">
        <v>9900251</v>
      </c>
      <c r="F146" s="428" t="b">
        <v>0</v>
      </c>
      <c r="H146" s="1">
        <v>66</v>
      </c>
      <c r="I146" s="183" t="str" cm="1">
        <f t="array" ref="I146">_xlfn.SWITCH(F146,TRUE,(Language!B324),"")</f>
        <v/>
      </c>
      <c r="J146" s="212" t="s">
        <v>125</v>
      </c>
      <c r="L146" s="183" t="str" cm="1">
        <f t="array" ref="L146">_xlfn.SWITCH(F146,TRUE,(E146),"")</f>
        <v/>
      </c>
      <c r="M146" s="212" t="s">
        <v>52</v>
      </c>
      <c r="N146" s="183">
        <v>88</v>
      </c>
      <c r="O146" s="212" t="s">
        <v>43</v>
      </c>
    </row>
    <row r="147" spans="1:15" x14ac:dyDescent="0.25">
      <c r="A147" s="2" t="str">
        <f>Language!B625</f>
        <v>Kryckkäpsshållare S3</v>
      </c>
      <c r="B147" s="1" cm="1">
        <f t="array" ref="B147">_xlfn.SWITCH(F147,TRUE,(46),)*('S3 models'!D142)</f>
        <v>0</v>
      </c>
      <c r="D147" s="728" cm="1">
        <f t="array" ref="D147">_xlfn.SWITCH(F147,TRUE,(N147),)*('S3 models'!D142)</f>
        <v>0</v>
      </c>
      <c r="E147">
        <v>9900301</v>
      </c>
      <c r="F147" s="428" t="b">
        <v>0</v>
      </c>
      <c r="G147" s="425">
        <v>39</v>
      </c>
      <c r="H147" s="1">
        <v>46</v>
      </c>
      <c r="I147" s="183" t="str" cm="1">
        <f t="array" ref="I147">_xlfn.SWITCH(F147,TRUE,(Language!B324),"")</f>
        <v/>
      </c>
      <c r="J147" s="212" t="s">
        <v>125</v>
      </c>
      <c r="L147" s="183" t="str" cm="1">
        <f t="array" ref="L147">_xlfn.SWITCH(F147,TRUE,(E147),"")</f>
        <v/>
      </c>
      <c r="M147" s="212" t="s">
        <v>52</v>
      </c>
      <c r="N147" s="183">
        <v>293</v>
      </c>
      <c r="O147" s="212" t="s">
        <v>43</v>
      </c>
    </row>
    <row r="148" spans="1:15" x14ac:dyDescent="0.25">
      <c r="A148" s="2" t="str">
        <f>Language!B626</f>
        <v>Ryggkil</v>
      </c>
      <c r="B148" s="1" cm="1">
        <f t="array" ref="B148">_xlfn.SWITCH(F148,TRUE,(40),)*('S3 models'!D144)</f>
        <v>0</v>
      </c>
      <c r="D148" s="728" cm="1">
        <f t="array" ref="D148">_xlfn.SWITCH(F148,TRUE,(N148),)*('S3 models'!D144)</f>
        <v>0</v>
      </c>
      <c r="E148">
        <v>4710012</v>
      </c>
      <c r="F148" s="428" t="b">
        <v>0</v>
      </c>
      <c r="G148" s="425">
        <v>84</v>
      </c>
      <c r="H148" s="1">
        <v>40</v>
      </c>
      <c r="I148" s="183" t="str" cm="1">
        <f t="array" ref="I148">_xlfn.SWITCH(F148,TRUE,(Language!B324),"")</f>
        <v/>
      </c>
      <c r="J148" s="212" t="s">
        <v>125</v>
      </c>
      <c r="L148" s="183" t="str" cm="1">
        <f t="array" ref="L148">_xlfn.SWITCH(F148,TRUE,(E148),"")</f>
        <v/>
      </c>
      <c r="M148" s="212" t="s">
        <v>52</v>
      </c>
      <c r="N148" s="183">
        <v>431</v>
      </c>
      <c r="O148" s="212" t="s">
        <v>43</v>
      </c>
    </row>
    <row r="149" spans="1:15" x14ac:dyDescent="0.25">
      <c r="A149" s="2" t="str">
        <f>Language!B627</f>
        <v>Freewheel</v>
      </c>
      <c r="B149" s="1" cm="1">
        <f t="array" ref="B149">_xlfn.SWITCH(F149,TRUE,(2600),)</f>
        <v>0</v>
      </c>
      <c r="D149" s="728" t="str" cm="1">
        <f t="array" ref="D149">_xlfn.SWITCH(F149,TRUE,(N149),"0")</f>
        <v>0</v>
      </c>
      <c r="E149" s="2" t="str">
        <f>'S3 models'!C148</f>
        <v>Välj Freewheel</v>
      </c>
      <c r="F149" s="428" t="b">
        <v>0</v>
      </c>
      <c r="H149" s="1">
        <v>2600</v>
      </c>
      <c r="I149" s="183" t="str" cm="1">
        <f t="array" ref="I149">_xlfn.SWITCH(F149,TRUE,(Language!B324),"")</f>
        <v/>
      </c>
      <c r="J149" s="212" t="s">
        <v>125</v>
      </c>
      <c r="K149" s="97" cm="1">
        <f t="array" ref="K149">_xlfn.SWITCH(C157,1,(Weights!A36),2,(Weights!A37),3,(Weights!A42),4,(Weights!A44),5,(Weights!A45),6,(Weights!A46),7,(""),8,"",)</f>
        <v>0</v>
      </c>
      <c r="L149" s="183" t="str" cm="1">
        <f t="array" ref="L149">_xlfn.SWITCH(F149,TRUE,(E149),"")</f>
        <v/>
      </c>
      <c r="M149" s="212" t="s">
        <v>52</v>
      </c>
      <c r="N149" s="183">
        <v>5781</v>
      </c>
      <c r="O149" s="212" t="s">
        <v>43</v>
      </c>
    </row>
    <row r="150" spans="1:15" x14ac:dyDescent="0.25">
      <c r="A150" s="2" t="str">
        <f>Language!B628</f>
        <v>Bord S3</v>
      </c>
      <c r="B150" s="1" cm="1">
        <f t="array" ref="B150">_xlfn.SWITCH(F150,TRUE,(0),)</f>
        <v>0</v>
      </c>
      <c r="D150" s="728" t="str" cm="1">
        <f t="array" ref="D150">_xlfn.SWITCH(F150,TRUE,(N150),"0")</f>
        <v>0</v>
      </c>
      <c r="E150" s="2">
        <v>6810020</v>
      </c>
      <c r="F150" s="434" t="b">
        <v>0</v>
      </c>
      <c r="H150" s="1">
        <v>0</v>
      </c>
      <c r="I150" s="183" t="str" cm="1">
        <f t="array" ref="I150">_xlfn.SWITCH(F150,TRUE,(Language!B324),"")</f>
        <v/>
      </c>
      <c r="J150" s="212" t="s">
        <v>125</v>
      </c>
      <c r="K150" s="97"/>
      <c r="L150" s="183" t="str" cm="1">
        <f t="array" ref="L150">_xlfn.SWITCH(F150,TRUE,(E150),"")</f>
        <v/>
      </c>
      <c r="M150" s="212" t="s">
        <v>52</v>
      </c>
      <c r="N150" s="183">
        <v>2077</v>
      </c>
      <c r="O150" s="212" t="s">
        <v>43</v>
      </c>
    </row>
    <row r="151" spans="1:15" x14ac:dyDescent="0.25">
      <c r="A151" s="68"/>
      <c r="B151" s="64"/>
      <c r="C151" s="97"/>
      <c r="D151" s="742"/>
      <c r="E151" s="64"/>
      <c r="F151" s="435"/>
      <c r="G151" s="50"/>
      <c r="H151" s="64"/>
      <c r="I151" s="130"/>
      <c r="J151" s="64"/>
      <c r="K151" s="97"/>
    </row>
    <row r="152" spans="1:15" ht="18.75" x14ac:dyDescent="0.3">
      <c r="A152" s="68"/>
      <c r="B152" s="250">
        <f>B10+B33+B43+B51+B56+B62+B69+B70+B71+B78+B97+B110+B117+B123+B125+B137+B143+B145+B146+B147+B148+B149+B150</f>
        <v>0</v>
      </c>
      <c r="C152" s="758"/>
      <c r="D152" s="250">
        <f>D10+D15+D25+D33+D43+D51+D56+D62+D69+D70+D71+D78+D97+D103+D110+D117+D123+D125+D131+D133+D137+D143+D145+D146+D147+D148+D149+D150</f>
        <v>0</v>
      </c>
      <c r="E152" s="64"/>
      <c r="F152" s="435"/>
      <c r="G152" s="111"/>
      <c r="H152" s="182" t="str" cm="1">
        <f t="array" ref="H152">_xlfn.SWITCH(F2,1,(Language!B79),2,("Standard=40 mm"),3,(Language!B79),4,("Standard=60 mm"),5,("Standard = 40 mm"),6,("Standrad =60 mm"),7,(Language!B81),8,(""),)</f>
        <v/>
      </c>
      <c r="I152" s="495" t="str">
        <f>Language!B182</f>
        <v>Bakaxeljustering</v>
      </c>
      <c r="J152" s="495"/>
      <c r="K152" s="496"/>
    </row>
    <row r="153" spans="1:15" x14ac:dyDescent="0.25">
      <c r="A153" s="68"/>
      <c r="B153" s="64"/>
      <c r="C153" s="50"/>
      <c r="D153" s="50"/>
      <c r="E153" s="64"/>
      <c r="F153" s="436"/>
      <c r="H153" s="64"/>
      <c r="I153" s="154"/>
      <c r="J153" s="64"/>
      <c r="K153" s="97"/>
    </row>
    <row r="154" spans="1:15" x14ac:dyDescent="0.25">
      <c r="A154" s="152"/>
      <c r="B154" s="64"/>
      <c r="C154" s="50"/>
      <c r="D154" s="50"/>
      <c r="E154" s="153"/>
      <c r="F154" s="513"/>
      <c r="H154" s="64"/>
      <c r="I154" s="64"/>
      <c r="J154" s="64"/>
      <c r="K154" s="97"/>
      <c r="L154" s="64"/>
      <c r="M154" s="64"/>
      <c r="N154" s="64"/>
      <c r="O154" s="64"/>
    </row>
    <row r="155" spans="1:15" x14ac:dyDescent="0.25">
      <c r="A155" s="155"/>
      <c r="B155" s="64"/>
      <c r="C155" s="97"/>
      <c r="D155" s="97"/>
      <c r="E155" s="426"/>
      <c r="F155" s="513"/>
      <c r="H155" s="64"/>
      <c r="I155" s="64"/>
      <c r="J155" s="156"/>
      <c r="K155" s="97"/>
      <c r="L155" s="64"/>
      <c r="M155" s="64"/>
      <c r="N155" s="64"/>
      <c r="O155" s="64"/>
    </row>
    <row r="156" spans="1:15" x14ac:dyDescent="0.25">
      <c r="A156" s="155"/>
      <c r="B156" s="255" t="str">
        <f>Language!B629</f>
        <v>Sitthöjd</v>
      </c>
      <c r="C156" s="97"/>
      <c r="D156" s="97"/>
      <c r="E156" s="251" t="str">
        <f>Language!B635</f>
        <v>Välj Freewheel</v>
      </c>
      <c r="F156" s="513"/>
      <c r="H156" s="64"/>
      <c r="I156" s="64"/>
      <c r="J156" s="64"/>
      <c r="K156" s="97"/>
      <c r="L156" s="64"/>
      <c r="M156" s="64"/>
      <c r="N156" s="64"/>
      <c r="O156" s="64"/>
    </row>
    <row r="157" spans="1:15" x14ac:dyDescent="0.25">
      <c r="A157" s="155"/>
      <c r="B157" s="251" t="str">
        <f>Language!B630</f>
        <v>+10 mm</v>
      </c>
      <c r="C157" s="97"/>
      <c r="D157" s="97"/>
      <c r="E157" s="251" t="str">
        <f>Language!B636</f>
        <v>Höjd 6-14cm, art: 2600102</v>
      </c>
      <c r="F157" s="513"/>
      <c r="H157" s="64"/>
      <c r="I157" s="64"/>
      <c r="J157" s="64"/>
      <c r="K157" s="97"/>
      <c r="L157" s="64"/>
      <c r="M157" s="64"/>
      <c r="N157" s="64"/>
      <c r="O157" s="64"/>
    </row>
    <row r="158" spans="1:15" x14ac:dyDescent="0.25">
      <c r="A158" s="155"/>
      <c r="B158" s="251" t="str">
        <f>Language!B631</f>
        <v>+20 mm</v>
      </c>
      <c r="C158" s="97"/>
      <c r="D158" s="97"/>
      <c r="E158" s="251" t="str">
        <f>Language!B637</f>
        <v>Höjd 11,5-16,5cm, art: 2600105</v>
      </c>
      <c r="F158" s="513"/>
      <c r="H158" s="64"/>
      <c r="I158" s="64"/>
      <c r="J158" s="64"/>
      <c r="K158" s="97"/>
      <c r="L158" s="64"/>
      <c r="M158" s="64"/>
      <c r="N158" s="64"/>
      <c r="O158" s="64"/>
    </row>
    <row r="159" spans="1:15" x14ac:dyDescent="0.25">
      <c r="A159" s="155"/>
      <c r="B159" s="251" t="str">
        <f>Language!B632</f>
        <v>+30 mm</v>
      </c>
      <c r="C159" s="97"/>
      <c r="D159" s="97"/>
      <c r="E159" s="251" t="str">
        <f>Language!B638</f>
        <v>Höjd 14-19 cm, art: 2600106</v>
      </c>
      <c r="F159" s="513"/>
      <c r="H159" s="64"/>
      <c r="I159" s="64"/>
      <c r="J159" s="64"/>
      <c r="K159" s="97"/>
      <c r="L159" s="64"/>
      <c r="M159" s="64"/>
      <c r="N159" s="64"/>
      <c r="O159" s="64"/>
    </row>
    <row r="160" spans="1:15" x14ac:dyDescent="0.25">
      <c r="A160" s="68"/>
      <c r="B160" s="251" t="str">
        <f>Language!B633</f>
        <v>+40 mm</v>
      </c>
      <c r="C160" s="97"/>
      <c r="D160" s="97"/>
      <c r="E160" s="251" t="str">
        <f>Language!B639</f>
        <v>Höjd 16,5-21,5 cm, art: 2600107</v>
      </c>
      <c r="F160" s="513"/>
      <c r="H160" s="64"/>
      <c r="I160" s="64"/>
      <c r="J160" s="64"/>
      <c r="K160" s="97"/>
      <c r="L160" s="64"/>
      <c r="M160" s="64"/>
      <c r="N160" s="64"/>
      <c r="O160" s="64"/>
    </row>
    <row r="161" spans="1:15" x14ac:dyDescent="0.25">
      <c r="A161" s="68"/>
      <c r="B161" s="251" t="str">
        <f>Language!B634</f>
        <v>+50 mm</v>
      </c>
      <c r="C161" s="97"/>
      <c r="D161" s="97"/>
      <c r="E161" s="251" t="str">
        <f>Language!B640</f>
        <v>Höjd 19-24 cm, art: 2600108</v>
      </c>
      <c r="F161" s="513"/>
      <c r="H161" s="64"/>
      <c r="I161" s="64"/>
      <c r="J161" s="64"/>
      <c r="K161" s="97"/>
      <c r="L161" s="64"/>
      <c r="M161" s="64"/>
      <c r="N161" s="64"/>
      <c r="O161" s="64"/>
    </row>
    <row r="162" spans="1:15" x14ac:dyDescent="0.25">
      <c r="A162" s="157"/>
      <c r="B162" s="251"/>
      <c r="C162" s="97"/>
      <c r="D162" s="97"/>
      <c r="E162" s="426"/>
      <c r="F162" s="513"/>
      <c r="H162" s="64"/>
      <c r="I162" s="64"/>
      <c r="J162" s="64"/>
      <c r="K162" s="97"/>
      <c r="L162" s="64"/>
      <c r="M162" s="64"/>
      <c r="N162" s="64"/>
      <c r="O162" s="64"/>
    </row>
    <row r="163" spans="1:15" x14ac:dyDescent="0.25">
      <c r="A163" s="157"/>
      <c r="B163" s="251"/>
      <c r="C163" s="97"/>
      <c r="D163" s="97"/>
      <c r="E163" s="426"/>
      <c r="F163" s="513"/>
      <c r="H163" s="64"/>
      <c r="I163" s="64"/>
      <c r="J163" s="64"/>
      <c r="K163" s="97"/>
      <c r="L163" s="64"/>
      <c r="M163" s="64"/>
      <c r="N163" s="64"/>
      <c r="O163" s="64"/>
    </row>
    <row r="164" spans="1:15" x14ac:dyDescent="0.25">
      <c r="A164" s="157"/>
      <c r="B164" s="251"/>
      <c r="C164" s="97"/>
      <c r="D164" s="97"/>
      <c r="E164" s="426"/>
      <c r="F164" s="513"/>
      <c r="H164" s="64"/>
      <c r="I164" s="64"/>
      <c r="J164" s="64"/>
      <c r="K164" s="97"/>
      <c r="L164" s="64"/>
      <c r="M164" s="64"/>
      <c r="N164" s="64"/>
      <c r="O164" s="64"/>
    </row>
    <row r="165" spans="1:15" x14ac:dyDescent="0.25">
      <c r="A165" s="157"/>
      <c r="B165" s="251"/>
      <c r="C165" s="97"/>
      <c r="D165" s="97"/>
      <c r="E165" s="426"/>
      <c r="F165" s="513"/>
      <c r="H165" s="64"/>
      <c r="I165" s="64"/>
      <c r="J165" s="64"/>
      <c r="K165" s="97"/>
      <c r="L165" s="64"/>
      <c r="M165" s="64"/>
      <c r="N165" s="64"/>
      <c r="O165" s="64"/>
    </row>
    <row r="166" spans="1:15" x14ac:dyDescent="0.25">
      <c r="A166" s="157"/>
      <c r="B166" s="251"/>
      <c r="C166" s="97"/>
      <c r="D166" s="97"/>
      <c r="E166" s="426"/>
      <c r="F166" s="513"/>
      <c r="H166" s="64"/>
      <c r="I166" s="64"/>
      <c r="J166" s="64"/>
      <c r="K166" s="97"/>
      <c r="L166" s="64"/>
      <c r="M166" s="64"/>
      <c r="N166" s="64"/>
      <c r="O166" s="64"/>
    </row>
    <row r="167" spans="1:15" x14ac:dyDescent="0.25">
      <c r="A167" s="157"/>
      <c r="B167" s="64"/>
      <c r="C167" s="97"/>
      <c r="D167" s="97"/>
      <c r="E167" s="426"/>
      <c r="F167" s="513"/>
      <c r="H167" s="64"/>
      <c r="I167" s="64"/>
      <c r="J167" s="64"/>
      <c r="K167" s="97"/>
      <c r="L167" s="64"/>
      <c r="M167" s="64"/>
      <c r="N167" s="64"/>
      <c r="O167" s="64"/>
    </row>
    <row r="168" spans="1:15" x14ac:dyDescent="0.25">
      <c r="A168" s="68"/>
      <c r="B168" s="64"/>
      <c r="C168" s="97"/>
      <c r="D168" s="97"/>
      <c r="E168" s="426"/>
      <c r="F168" s="513"/>
      <c r="H168" s="64"/>
      <c r="I168" s="64"/>
      <c r="J168" s="64"/>
      <c r="K168" s="97"/>
      <c r="L168" s="64"/>
      <c r="M168" s="64"/>
      <c r="N168" s="64"/>
      <c r="O168" s="64"/>
    </row>
    <row r="169" spans="1:15" x14ac:dyDescent="0.25">
      <c r="A169" s="68"/>
      <c r="B169" s="64"/>
      <c r="C169" s="97"/>
      <c r="D169" s="97"/>
      <c r="E169" s="426"/>
      <c r="F169" s="513"/>
      <c r="H169" s="64"/>
      <c r="I169" s="64"/>
      <c r="J169" s="64"/>
      <c r="K169" s="97"/>
      <c r="L169" s="64"/>
      <c r="M169" s="64"/>
      <c r="N169" s="64"/>
      <c r="O169" s="64"/>
    </row>
    <row r="170" spans="1:15" x14ac:dyDescent="0.25">
      <c r="A170" s="68"/>
      <c r="B170" s="64"/>
      <c r="C170" s="97"/>
      <c r="D170" s="97"/>
      <c r="E170" s="426"/>
      <c r="F170" s="513"/>
      <c r="H170" s="64"/>
      <c r="I170" s="64"/>
      <c r="J170" s="64"/>
      <c r="K170" s="97"/>
      <c r="L170" s="64"/>
      <c r="M170" s="64"/>
      <c r="N170" s="64"/>
      <c r="O170" s="64"/>
    </row>
    <row r="171" spans="1:15" x14ac:dyDescent="0.25">
      <c r="A171" s="68"/>
      <c r="B171" s="64"/>
      <c r="C171" s="97"/>
      <c r="D171" s="97"/>
      <c r="E171" s="426"/>
      <c r="F171" s="513"/>
      <c r="H171" s="64"/>
      <c r="I171" s="64"/>
      <c r="J171" s="64"/>
      <c r="K171" s="64"/>
      <c r="L171" s="64"/>
      <c r="M171" s="64"/>
      <c r="N171" s="64"/>
      <c r="O171" s="64"/>
    </row>
    <row r="172" spans="1:15" ht="15" x14ac:dyDescent="0.25">
      <c r="A172" s="68"/>
      <c r="B172" s="64"/>
      <c r="C172" s="97"/>
      <c r="D172" s="97"/>
      <c r="E172" s="426"/>
      <c r="F172" s="57"/>
      <c r="H172" s="64"/>
      <c r="I172" s="64"/>
      <c r="J172" s="64"/>
      <c r="K172" s="64"/>
      <c r="L172" s="64"/>
      <c r="M172" s="64"/>
      <c r="N172" s="64"/>
      <c r="O172" s="64"/>
    </row>
    <row r="173" spans="1:15" ht="15" x14ac:dyDescent="0.25">
      <c r="A173" s="64"/>
      <c r="B173" s="64"/>
      <c r="C173" s="97"/>
      <c r="D173" s="97"/>
      <c r="E173" s="155"/>
      <c r="F173" s="57"/>
      <c r="H173" s="64"/>
      <c r="I173" s="64"/>
      <c r="J173" s="64"/>
      <c r="K173" s="64"/>
      <c r="L173" s="64"/>
      <c r="M173" s="64"/>
      <c r="N173" s="64"/>
      <c r="O173" s="64"/>
    </row>
    <row r="174" spans="1:15" ht="15" x14ac:dyDescent="0.25">
      <c r="A174" s="64"/>
      <c r="B174" s="64"/>
      <c r="C174" s="97"/>
      <c r="D174" s="97"/>
      <c r="E174" s="155"/>
      <c r="F174" s="57"/>
      <c r="H174" s="64"/>
      <c r="I174" s="64"/>
      <c r="J174" s="64"/>
      <c r="K174" s="64"/>
      <c r="L174" s="64"/>
      <c r="M174" s="64"/>
      <c r="N174" s="64"/>
      <c r="O174" s="64"/>
    </row>
    <row r="175" spans="1:15" x14ac:dyDescent="0.25">
      <c r="A175" s="64"/>
      <c r="B175" s="64"/>
      <c r="C175" s="97"/>
      <c r="D175" s="97"/>
      <c r="E175" s="155"/>
      <c r="F175" s="514"/>
      <c r="H175" s="64"/>
      <c r="I175" s="64"/>
      <c r="J175" s="64"/>
      <c r="K175" s="64"/>
      <c r="L175" s="64"/>
      <c r="M175" s="64"/>
      <c r="N175" s="64"/>
      <c r="O175" s="64"/>
    </row>
    <row r="176" spans="1:15" x14ac:dyDescent="0.25">
      <c r="A176" s="64"/>
      <c r="B176" s="64"/>
      <c r="C176" s="97"/>
      <c r="D176" s="467"/>
      <c r="E176" s="181"/>
      <c r="F176" s="514"/>
      <c r="H176" s="64"/>
      <c r="I176" s="64"/>
      <c r="J176" s="64"/>
      <c r="K176" s="64"/>
      <c r="L176" s="64"/>
      <c r="M176" s="64"/>
      <c r="N176" s="64"/>
      <c r="O176" s="64"/>
    </row>
    <row r="177" spans="1:15" x14ac:dyDescent="0.25">
      <c r="A177" s="64"/>
      <c r="B177" s="64"/>
      <c r="C177" s="97"/>
      <c r="D177" s="467"/>
      <c r="E177" s="181"/>
      <c r="F177" s="514"/>
      <c r="H177" s="64"/>
      <c r="I177" s="64"/>
      <c r="J177" s="64"/>
      <c r="K177" s="64"/>
      <c r="L177" s="64"/>
      <c r="M177" s="64"/>
      <c r="N177" s="64"/>
      <c r="O177" s="64"/>
    </row>
    <row r="178" spans="1:15" x14ac:dyDescent="0.25">
      <c r="A178" s="64"/>
      <c r="B178" s="64"/>
      <c r="C178" s="97"/>
      <c r="D178" s="467"/>
      <c r="E178" s="181"/>
      <c r="F178" s="514"/>
      <c r="H178" s="64"/>
      <c r="I178" s="64"/>
      <c r="J178" s="64"/>
      <c r="K178" s="64"/>
      <c r="L178" s="64"/>
      <c r="M178" s="64"/>
      <c r="N178" s="64"/>
      <c r="O178" s="64"/>
    </row>
    <row r="179" spans="1:15" x14ac:dyDescent="0.25">
      <c r="A179" s="64"/>
      <c r="B179" s="64"/>
      <c r="C179" s="97"/>
      <c r="D179" s="467"/>
      <c r="E179" s="181"/>
      <c r="F179" s="514"/>
      <c r="H179" s="64"/>
      <c r="I179" s="64"/>
      <c r="J179" s="64"/>
      <c r="K179" s="64"/>
      <c r="L179" s="64"/>
      <c r="M179" s="64"/>
      <c r="N179" s="64"/>
      <c r="O179" s="64"/>
    </row>
    <row r="180" spans="1:15" x14ac:dyDescent="0.25">
      <c r="A180" s="64"/>
      <c r="B180" s="64"/>
      <c r="C180" s="97"/>
      <c r="D180" s="467"/>
      <c r="E180" s="181"/>
      <c r="F180" s="514"/>
      <c r="H180" s="64"/>
      <c r="I180" s="64"/>
      <c r="J180" s="64"/>
      <c r="K180" s="64"/>
      <c r="L180" s="64"/>
      <c r="M180" s="64"/>
      <c r="N180" s="64"/>
      <c r="O180" s="64"/>
    </row>
    <row r="181" spans="1:15" x14ac:dyDescent="0.25">
      <c r="A181" s="64"/>
      <c r="B181" s="64"/>
      <c r="C181" s="97"/>
      <c r="D181" s="467"/>
      <c r="E181" s="181"/>
      <c r="F181" s="514"/>
      <c r="H181" s="64"/>
      <c r="I181" s="64"/>
      <c r="J181" s="64"/>
      <c r="K181" s="64"/>
      <c r="L181" s="64"/>
      <c r="M181" s="64"/>
      <c r="N181" s="64"/>
      <c r="O181" s="64"/>
    </row>
    <row r="182" spans="1:15" x14ac:dyDescent="0.25">
      <c r="A182" s="64"/>
      <c r="B182" s="64"/>
      <c r="C182" s="97"/>
      <c r="D182" s="467"/>
      <c r="E182" s="181"/>
      <c r="F182" s="514"/>
      <c r="H182" s="64"/>
      <c r="I182" s="64"/>
      <c r="J182" s="64"/>
      <c r="K182" s="64"/>
      <c r="L182" s="64"/>
      <c r="M182" s="64"/>
      <c r="N182" s="64"/>
      <c r="O182" s="64"/>
    </row>
    <row r="183" spans="1:15" x14ac:dyDescent="0.25">
      <c r="A183" s="64"/>
      <c r="B183" s="64"/>
      <c r="C183" s="97"/>
      <c r="D183" s="467"/>
      <c r="E183" s="181"/>
      <c r="F183" s="514"/>
      <c r="H183" s="64"/>
      <c r="I183" s="64"/>
      <c r="J183" s="64"/>
      <c r="K183" s="64"/>
      <c r="L183" s="64"/>
      <c r="M183" s="64"/>
      <c r="N183" s="64"/>
      <c r="O183" s="64"/>
    </row>
  </sheetData>
  <sheetProtection sheet="1" objects="1" scenarios="1"/>
  <phoneticPr fontId="21" type="noConversion"/>
  <pageMargins left="0.7" right="0.7" top="0.75" bottom="0.75" header="0.3" footer="0.3"/>
  <pageSetup paperSize="9" orientation="portrait" horizontalDpi="4294967295" verticalDpi="4294967295" r:id="rId1"/>
  <ignoredErrors>
    <ignoredError sqref="B145:B146 B149:B150" unlocked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C7295-3CF1-4F21-813E-65A02341F2C6}">
  <sheetPr codeName="Sheet3"/>
  <dimension ref="A1:O251"/>
  <sheetViews>
    <sheetView showGridLines="0" zoomScale="150" zoomScaleNormal="150" zoomScaleSheetLayoutView="150" workbookViewId="0">
      <pane ySplit="3" topLeftCell="A4" activePane="bottomLeft" state="frozen"/>
      <selection activeCell="K107" sqref="K107"/>
      <selection pane="bottomLeft"/>
    </sheetView>
  </sheetViews>
  <sheetFormatPr defaultRowHeight="15" x14ac:dyDescent="0.25"/>
  <cols>
    <col min="1" max="1" width="11.85546875" style="14" customWidth="1"/>
    <col min="2" max="2" width="6.5703125" customWidth="1"/>
    <col min="3" max="8" width="9.7109375" customWidth="1"/>
    <col min="9" max="9" width="10.5703125" style="124" customWidth="1"/>
    <col min="10" max="10" width="9.7109375" customWidth="1"/>
    <col min="11" max="11" width="10.5703125" style="1" customWidth="1"/>
    <col min="12" max="12" width="9.140625" style="1"/>
    <col min="13" max="13" width="9.5703125" customWidth="1"/>
  </cols>
  <sheetData>
    <row r="1" spans="1:14" x14ac:dyDescent="0.25">
      <c r="I1" s="521" t="str">
        <f>Language!B327</f>
        <v>Sammanställning:</v>
      </c>
      <c r="J1" s="507"/>
    </row>
    <row r="2" spans="1:14" ht="24.75" customHeight="1" x14ac:dyDescent="0.3">
      <c r="B2" s="812" t="str">
        <f>Language!B326</f>
        <v>Beställningsguide Panthera U3 modeller</v>
      </c>
      <c r="C2" s="812"/>
      <c r="D2" s="812"/>
      <c r="E2" s="812"/>
      <c r="F2" s="812"/>
      <c r="G2" s="812"/>
      <c r="H2" s="875" t="str">
        <f>Language!B957</f>
        <v>Pris:</v>
      </c>
      <c r="I2" s="772">
        <f>Weights_U3!D149</f>
        <v>0</v>
      </c>
      <c r="J2" s="664"/>
      <c r="K2" s="334"/>
      <c r="L2" s="81"/>
      <c r="M2" s="19"/>
    </row>
    <row r="3" spans="1:14" ht="20.25" customHeight="1" x14ac:dyDescent="0.25">
      <c r="A3" s="649" t="str">
        <f>Language!B329</f>
        <v>startsida</v>
      </c>
      <c r="B3" s="649" t="str">
        <f>Language!B13</f>
        <v>UPP</v>
      </c>
      <c r="C3" s="34"/>
      <c r="D3" s="55"/>
      <c r="E3" s="55" t="str">
        <f>Language!B331</f>
        <v>Vikt:</v>
      </c>
      <c r="F3" s="107">
        <f>Weights_U3!B149</f>
        <v>0</v>
      </c>
      <c r="G3" s="639" t="s">
        <v>28</v>
      </c>
      <c r="H3" s="844" t="str">
        <f>Language!B15</f>
        <v>Art.nr &amp; vikt ändras beronde på valen som görs i guiden.</v>
      </c>
      <c r="I3" s="844"/>
      <c r="J3" s="844"/>
      <c r="K3" s="97"/>
      <c r="L3" s="81"/>
      <c r="M3" s="19"/>
    </row>
    <row r="4" spans="1:14" ht="10.5" customHeight="1" x14ac:dyDescent="0.25">
      <c r="G4" s="6"/>
      <c r="H4" s="834"/>
      <c r="I4" s="834"/>
      <c r="J4" s="834"/>
    </row>
    <row r="5" spans="1:14" x14ac:dyDescent="0.25">
      <c r="A5" s="557" t="str">
        <f>Language!B332</f>
        <v>Utprovad av:</v>
      </c>
      <c r="B5" s="813"/>
      <c r="C5" s="814"/>
      <c r="D5" s="815"/>
      <c r="E5" s="557" t="str">
        <f>Language!B335</f>
        <v>Tel:</v>
      </c>
      <c r="F5" s="813"/>
      <c r="G5" s="815"/>
      <c r="H5" s="821" t="str">
        <f>Language!B340</f>
        <v xml:space="preserve">Spara guiden till "skrivbordet" och öppna </v>
      </c>
      <c r="I5" s="792"/>
      <c r="J5" s="792"/>
      <c r="K5" s="139"/>
      <c r="L5" s="135"/>
      <c r="M5" s="144"/>
    </row>
    <row r="6" spans="1:14" x14ac:dyDescent="0.25">
      <c r="A6" s="557" t="str">
        <f>Language!B333</f>
        <v>E-post:</v>
      </c>
      <c r="B6" s="818"/>
      <c r="C6" s="819"/>
      <c r="D6" s="820"/>
      <c r="E6" s="557" t="str">
        <f>Language!B336</f>
        <v>Datum:</v>
      </c>
      <c r="F6" s="816"/>
      <c r="G6" s="817"/>
      <c r="H6" s="821" t="str">
        <f>Language!B341</f>
        <v>den med Excel. Bygg din rullstol genom att</v>
      </c>
      <c r="I6" s="792"/>
      <c r="J6" s="792"/>
      <c r="K6" s="140"/>
      <c r="L6" s="135"/>
      <c r="M6" s="144"/>
    </row>
    <row r="7" spans="1:14" x14ac:dyDescent="0.25">
      <c r="A7" s="557" t="str">
        <f>Language!B334</f>
        <v>Utprovad för:</v>
      </c>
      <c r="B7" s="813"/>
      <c r="C7" s="814"/>
      <c r="D7" s="815"/>
      <c r="E7" s="2"/>
      <c r="F7" s="73"/>
      <c r="G7" s="30"/>
      <c r="H7" s="792" t="str">
        <f>Language!B342</f>
        <v xml:space="preserve">klicka i cirklarna. Blå, fet text är </v>
      </c>
      <c r="I7" s="792"/>
      <c r="J7" s="792"/>
      <c r="K7" s="140"/>
      <c r="L7" s="147"/>
    </row>
    <row r="8" spans="1:14" x14ac:dyDescent="0.25">
      <c r="A8" s="557"/>
      <c r="B8" s="71"/>
      <c r="C8" s="71"/>
      <c r="D8" s="71"/>
      <c r="E8" s="2"/>
      <c r="F8" s="73"/>
      <c r="G8" s="30"/>
      <c r="H8" s="792" t="str">
        <f>Language!B343</f>
        <v>en länk för att visa info eller bild</v>
      </c>
      <c r="I8" s="792"/>
      <c r="J8" s="792"/>
      <c r="K8" s="140"/>
      <c r="L8" s="147"/>
    </row>
    <row r="9" spans="1:14" x14ac:dyDescent="0.25">
      <c r="A9" s="72"/>
      <c r="B9" s="71"/>
      <c r="C9" s="71"/>
      <c r="D9" s="71"/>
      <c r="E9" s="72"/>
      <c r="F9" s="73"/>
      <c r="G9" s="74"/>
      <c r="H9" s="837" t="str">
        <f>Language!B344</f>
        <v>BB = sittbredd, HH= ryggstödshöjd</v>
      </c>
      <c r="I9" s="837"/>
      <c r="J9" s="837"/>
      <c r="K9" s="140"/>
      <c r="L9" s="147"/>
      <c r="M9" s="137"/>
      <c r="N9" s="145"/>
    </row>
    <row r="10" spans="1:14" x14ac:dyDescent="0.25">
      <c r="A10" s="794" t="str">
        <f>Language!B345</f>
        <v>U3 har en justerbar bakaxel av kolfiber. För att hitta en balansering som passar dig så kan bakaxeln flyttas till olika lägen. Ange önskat mått</v>
      </c>
      <c r="B10" s="794"/>
      <c r="C10" s="794"/>
      <c r="D10" s="794"/>
      <c r="E10" s="794"/>
      <c r="F10" s="794"/>
      <c r="G10" s="794"/>
      <c r="H10" s="794"/>
      <c r="I10" s="794"/>
      <c r="J10" s="794"/>
      <c r="K10" s="140"/>
      <c r="L10" s="147"/>
      <c r="M10" s="137"/>
      <c r="N10" s="145"/>
    </row>
    <row r="11" spans="1:14" x14ac:dyDescent="0.25">
      <c r="A11" s="794" t="str">
        <f>Language!B346</f>
        <v>under "Inställningar". U3 har sitthöjd 47 cm fram och 43 bak, utan dyna. För att justera sitthöjden kan andra storlekar av drivhjul</v>
      </c>
      <c r="B11" s="794"/>
      <c r="C11" s="794"/>
      <c r="D11" s="794"/>
      <c r="E11" s="794"/>
      <c r="F11" s="794"/>
      <c r="G11" s="794"/>
      <c r="H11" s="794"/>
      <c r="I11" s="794"/>
      <c r="J11" s="794"/>
      <c r="K11" s="140"/>
      <c r="L11" s="147"/>
      <c r="M11" s="31"/>
      <c r="N11" s="3"/>
    </row>
    <row r="12" spans="1:14" ht="18.75" customHeight="1" x14ac:dyDescent="0.25">
      <c r="A12" s="837" t="str">
        <f>Language!B347</f>
        <v>eller ett förhöjningskit och passande framgaffel väljas.        Max brukarvikt är 100 kg för sittbredd 33-42 och 150kg för sittbredd 45 cm.</v>
      </c>
      <c r="B12" s="837"/>
      <c r="C12" s="837"/>
      <c r="D12" s="837"/>
      <c r="E12" s="837"/>
      <c r="F12" s="837"/>
      <c r="G12" s="837"/>
      <c r="H12" s="837"/>
      <c r="I12" s="837"/>
      <c r="J12" s="837"/>
      <c r="K12" s="140"/>
      <c r="L12" s="147"/>
      <c r="M12" s="138"/>
      <c r="N12" s="146"/>
    </row>
    <row r="13" spans="1:14" ht="15.75" x14ac:dyDescent="0.25">
      <c r="A13" s="298"/>
      <c r="B13" s="309" t="str">
        <f>Language!B348</f>
        <v>1) U3 modeller</v>
      </c>
      <c r="C13" s="295"/>
      <c r="D13" s="295"/>
      <c r="E13" s="304"/>
      <c r="F13" s="305"/>
      <c r="G13" s="300"/>
      <c r="H13" s="304"/>
      <c r="I13" s="306"/>
      <c r="J13" s="307"/>
      <c r="K13" s="140"/>
      <c r="L13" s="147"/>
      <c r="M13" s="3"/>
      <c r="N13" s="49"/>
    </row>
    <row r="14" spans="1:14" x14ac:dyDescent="0.25">
      <c r="A14" s="78"/>
      <c r="B14" s="71"/>
      <c r="C14" s="71"/>
      <c r="D14" s="71"/>
      <c r="E14" s="72"/>
      <c r="F14" s="73"/>
      <c r="G14" s="74"/>
      <c r="H14" s="75"/>
      <c r="I14" s="125"/>
      <c r="J14" s="76"/>
      <c r="K14" s="140"/>
      <c r="L14" s="147"/>
      <c r="M14" s="3"/>
      <c r="N14" s="49"/>
    </row>
    <row r="15" spans="1:14" x14ac:dyDescent="0.25">
      <c r="A15" s="78"/>
      <c r="B15" s="640" t="str">
        <f>Language!B349</f>
        <v xml:space="preserve">  U3</v>
      </c>
      <c r="C15" s="518"/>
      <c r="D15" s="278"/>
      <c r="E15" s="15" t="str">
        <f>Language!B353</f>
        <v>Sittbredd 33-45 cm, Sitsdjup40 cm</v>
      </c>
      <c r="F15" s="102"/>
      <c r="G15" s="30"/>
      <c r="H15" s="1"/>
      <c r="J15" s="76"/>
      <c r="K15" s="49"/>
      <c r="L15" s="147"/>
      <c r="M15" s="3"/>
      <c r="N15" s="49"/>
    </row>
    <row r="16" spans="1:14" x14ac:dyDescent="0.25">
      <c r="A16" s="78"/>
      <c r="B16" s="640" t="str">
        <f>Language!B350</f>
        <v xml:space="preserve">  U3 Y-Front</v>
      </c>
      <c r="C16" s="518"/>
      <c r="D16" s="278"/>
      <c r="E16" s="15" t="str">
        <f>Language!B354</f>
        <v>Sittbredd 33-50 cm, Sitsdjup35, 37.5, 40, 42.5 cm</v>
      </c>
      <c r="F16" s="102"/>
      <c r="G16" s="30"/>
      <c r="H16" s="1"/>
      <c r="J16" s="76"/>
      <c r="K16" s="49"/>
      <c r="L16" s="147"/>
      <c r="M16" s="3"/>
      <c r="N16" s="49"/>
    </row>
    <row r="17" spans="1:15" x14ac:dyDescent="0.25">
      <c r="A17" s="78"/>
      <c r="B17" s="640" t="str">
        <f>Language!B351</f>
        <v xml:space="preserve">  U3 Y-Front Kort</v>
      </c>
      <c r="C17" s="518"/>
      <c r="D17" s="278"/>
      <c r="E17" s="15" t="str">
        <f>Language!B355</f>
        <v xml:space="preserve">Sittbredd 33-50 cm, Sitsdjup35, 37.5 cm (Sittbredd 50 cm ) 37.5 cm. Välj färg! </v>
      </c>
      <c r="F17" s="102"/>
      <c r="G17" s="30"/>
      <c r="H17" s="1"/>
      <c r="K17" s="140"/>
      <c r="L17" s="147"/>
      <c r="M17" s="3"/>
      <c r="N17" s="49"/>
    </row>
    <row r="18" spans="1:15" x14ac:dyDescent="0.25">
      <c r="A18" s="78"/>
      <c r="B18" s="640" t="str">
        <f>Language!B352</f>
        <v xml:space="preserve">  U3 Y-Front Låg</v>
      </c>
      <c r="C18" s="518"/>
      <c r="D18" s="278"/>
      <c r="E18" s="15" t="str">
        <f>Language!B356</f>
        <v xml:space="preserve">Sittbredd 33-50 cm, Sitsdjup35, 37.5 cm (Sittbredd 50 cm ) 37.5 cm. Välj färg! </v>
      </c>
      <c r="F18" s="102"/>
      <c r="G18" s="30"/>
      <c r="H18" s="1"/>
      <c r="K18" s="140"/>
      <c r="L18" s="147"/>
      <c r="M18" s="3"/>
      <c r="N18" s="49"/>
    </row>
    <row r="19" spans="1:15" x14ac:dyDescent="0.25">
      <c r="A19" s="78"/>
      <c r="B19" s="158"/>
      <c r="C19" s="236" t="str">
        <f>Language!B338</f>
        <v>art.nr.</v>
      </c>
      <c r="D19" s="166"/>
      <c r="E19" s="15"/>
      <c r="G19" s="30"/>
      <c r="H19" s="1"/>
      <c r="K19" s="111"/>
      <c r="L19" s="148"/>
      <c r="M19" s="111"/>
      <c r="N19" s="150"/>
    </row>
    <row r="20" spans="1:15" x14ac:dyDescent="0.25">
      <c r="A20" s="78"/>
      <c r="B20" s="165" t="str">
        <f>Language!B337</f>
        <v>Rensa</v>
      </c>
      <c r="C20" s="187" t="str">
        <f>Weights_U3!E10</f>
        <v/>
      </c>
      <c r="D20" s="103"/>
      <c r="E20" s="797" t="str">
        <f>Language!B339</f>
        <v xml:space="preserve">                Gulmarkering indikerar 20 dagars lev.tid.</v>
      </c>
      <c r="F20" s="798"/>
      <c r="G20" s="798"/>
      <c r="H20" s="799"/>
      <c r="K20" s="111"/>
      <c r="L20" s="147"/>
      <c r="M20" s="111"/>
      <c r="N20" s="151"/>
    </row>
    <row r="21" spans="1:15" x14ac:dyDescent="0.25">
      <c r="A21" s="78"/>
      <c r="B21" s="165"/>
      <c r="C21" s="280"/>
      <c r="D21" s="103"/>
      <c r="E21" s="2"/>
      <c r="F21" s="102"/>
      <c r="G21" s="30"/>
      <c r="H21" s="1"/>
      <c r="K21" s="111"/>
      <c r="L21" s="147"/>
      <c r="M21" s="111"/>
      <c r="N21" s="151"/>
    </row>
    <row r="22" spans="1:15" ht="15.75" x14ac:dyDescent="0.25">
      <c r="A22" s="294"/>
      <c r="B22" s="309" t="str">
        <f>Language!B357</f>
        <v>2) Chassifärg</v>
      </c>
      <c r="C22" s="296"/>
      <c r="D22" s="297"/>
      <c r="E22" s="298"/>
      <c r="F22" s="299"/>
      <c r="G22" s="300"/>
      <c r="H22" s="301"/>
      <c r="I22" s="302"/>
      <c r="J22" s="303"/>
      <c r="K22" s="111"/>
      <c r="L22" s="147"/>
      <c r="M22" s="111"/>
      <c r="N22" s="151"/>
    </row>
    <row r="23" spans="1:15" x14ac:dyDescent="0.25">
      <c r="A23" s="78"/>
      <c r="B23" s="103"/>
      <c r="C23" s="103"/>
      <c r="D23" s="103"/>
      <c r="E23" s="2"/>
      <c r="F23" s="102"/>
      <c r="G23" s="30"/>
      <c r="H23" s="1"/>
      <c r="K23" s="111"/>
      <c r="L23" s="147"/>
      <c r="M23" s="111"/>
      <c r="N23" s="150"/>
    </row>
    <row r="24" spans="1:15" x14ac:dyDescent="0.25">
      <c r="A24" s="77"/>
      <c r="B24" s="641" t="str">
        <f>Language!B358</f>
        <v>Svart - Anodic Black</v>
      </c>
      <c r="C24" s="641"/>
      <c r="D24" s="1"/>
      <c r="E24" s="643" t="str">
        <f>Language!B360</f>
        <v xml:space="preserve">         Tillvalsfärg</v>
      </c>
      <c r="F24" s="102"/>
      <c r="G24" s="30"/>
      <c r="H24" s="1"/>
      <c r="K24" s="111"/>
      <c r="L24" s="147"/>
      <c r="M24" s="111"/>
      <c r="N24" s="150"/>
    </row>
    <row r="25" spans="1:15" x14ac:dyDescent="0.25">
      <c r="A25" s="77"/>
      <c r="B25" s="642" t="str">
        <f>Language!B359</f>
        <v>Grå - Gray Metallic</v>
      </c>
      <c r="C25" s="642"/>
      <c r="D25" s="103"/>
      <c r="E25" s="3" t="str">
        <f>Language!B361</f>
        <v xml:space="preserve">En leveranstid på 20 dagar tillkommer för tillvalsfärg. </v>
      </c>
      <c r="F25" s="3"/>
      <c r="G25" s="3"/>
      <c r="H25" s="177"/>
      <c r="K25" s="111"/>
      <c r="L25" s="147"/>
      <c r="M25" s="142"/>
      <c r="N25" s="150"/>
    </row>
    <row r="26" spans="1:15" ht="15" customHeight="1" x14ac:dyDescent="0.25">
      <c r="A26" s="77"/>
      <c r="B26" s="165"/>
      <c r="C26" s="236" t="str">
        <f>Language!B338</f>
        <v>art.nr.</v>
      </c>
      <c r="D26" s="103"/>
      <c r="E26" s="564" t="str">
        <f>Language!B362</f>
        <v>Fyll i art.nr. i rutan nedanför</v>
      </c>
      <c r="F26" s="564"/>
      <c r="G26" s="564"/>
      <c r="H26" s="1"/>
      <c r="K26" s="111"/>
      <c r="L26" s="826"/>
      <c r="M26" s="826"/>
      <c r="N26" s="49"/>
      <c r="O26" s="69"/>
    </row>
    <row r="27" spans="1:15" ht="15" customHeight="1" x14ac:dyDescent="0.25">
      <c r="A27" s="77"/>
      <c r="B27" s="165" t="str">
        <f>Language!B337</f>
        <v>Rensa</v>
      </c>
      <c r="C27" s="187" t="str">
        <f>Weights_U3!E15</f>
        <v/>
      </c>
      <c r="D27" s="103"/>
      <c r="E27" s="2"/>
      <c r="F27" s="161"/>
      <c r="G27" s="262"/>
      <c r="H27" s="1"/>
      <c r="K27" s="142"/>
      <c r="L27" s="149"/>
      <c r="M27" s="3"/>
      <c r="N27" s="143"/>
      <c r="O27" s="69"/>
    </row>
    <row r="28" spans="1:15" ht="15" customHeight="1" x14ac:dyDescent="0.25">
      <c r="A28" s="77"/>
      <c r="B28" s="165"/>
      <c r="C28" s="280"/>
      <c r="D28" s="103"/>
      <c r="E28" s="2"/>
      <c r="F28" s="2"/>
      <c r="G28" s="2"/>
      <c r="H28" s="1"/>
      <c r="K28" s="142"/>
      <c r="L28" s="149"/>
      <c r="M28" s="3"/>
      <c r="N28" s="143"/>
      <c r="O28" s="69"/>
    </row>
    <row r="29" spans="1:15" ht="15" customHeight="1" x14ac:dyDescent="0.25">
      <c r="A29" s="308"/>
      <c r="B29" s="309" t="str">
        <f>Language!B363</f>
        <v>3) Sittbredd BB</v>
      </c>
      <c r="C29" s="296"/>
      <c r="D29" s="297"/>
      <c r="E29" s="298"/>
      <c r="F29" s="298"/>
      <c r="G29" s="298"/>
      <c r="H29" s="301"/>
      <c r="I29" s="302"/>
      <c r="J29" s="303"/>
      <c r="K29" s="142"/>
      <c r="L29" s="149"/>
      <c r="M29" s="3"/>
      <c r="N29" s="143"/>
      <c r="O29" s="69"/>
    </row>
    <row r="30" spans="1:15" ht="15" customHeight="1" x14ac:dyDescent="0.25">
      <c r="A30" s="84"/>
      <c r="B30" s="281"/>
      <c r="C30" s="103"/>
      <c r="D30" s="103"/>
      <c r="E30" s="2"/>
      <c r="F30" s="173" t="s">
        <v>46</v>
      </c>
      <c r="G30" s="30"/>
      <c r="H30" s="1"/>
      <c r="K30" s="174"/>
      <c r="L30" s="50"/>
      <c r="M30" s="58"/>
      <c r="N30" s="57"/>
      <c r="O30" s="69"/>
    </row>
    <row r="31" spans="1:15" ht="15" customHeight="1" x14ac:dyDescent="0.25">
      <c r="A31" s="78"/>
      <c r="B31" s="175"/>
      <c r="C31" s="282"/>
      <c r="D31" s="282"/>
      <c r="E31" s="283" t="s">
        <v>3</v>
      </c>
      <c r="F31" s="284" t="s">
        <v>4</v>
      </c>
      <c r="G31" s="284" t="s">
        <v>5</v>
      </c>
      <c r="H31" s="283" t="s">
        <v>6</v>
      </c>
      <c r="I31" s="285" t="s">
        <v>7</v>
      </c>
      <c r="J31" s="283" t="s">
        <v>8</v>
      </c>
      <c r="K31" s="177"/>
      <c r="L31" s="50"/>
      <c r="M31" s="58"/>
      <c r="N31" s="57"/>
      <c r="O31" s="69"/>
    </row>
    <row r="32" spans="1:15" ht="15" customHeight="1" x14ac:dyDescent="0.25">
      <c r="A32" s="252"/>
      <c r="B32" s="175"/>
      <c r="C32" s="167"/>
      <c r="D32" s="167"/>
      <c r="E32" s="40"/>
      <c r="F32" s="176"/>
      <c r="G32" s="176"/>
      <c r="H32" s="40"/>
      <c r="I32" s="122"/>
      <c r="J32" s="40"/>
      <c r="K32" s="57"/>
      <c r="L32" s="57"/>
      <c r="M32" s="58"/>
      <c r="N32" s="57"/>
      <c r="O32" s="69"/>
    </row>
    <row r="33" spans="1:15" ht="15" customHeight="1" x14ac:dyDescent="0.25">
      <c r="A33" s="5"/>
      <c r="B33" s="165" t="str">
        <f>Language!B337</f>
        <v>Rensa</v>
      </c>
      <c r="C33" s="186" t="str">
        <f>Weights_U3!E25</f>
        <v/>
      </c>
      <c r="D33" s="849" t="str">
        <f>Language!B364</f>
        <v>Möjlig sittbredd:</v>
      </c>
      <c r="E33" s="850"/>
      <c r="F33" s="455" t="str">
        <f>Weights_U3!G21</f>
        <v/>
      </c>
      <c r="G33" s="176"/>
      <c r="H33" s="40"/>
      <c r="I33" s="122"/>
      <c r="J33" s="40"/>
      <c r="K33" s="57"/>
      <c r="L33" s="57"/>
      <c r="M33" s="58"/>
      <c r="N33" s="57"/>
      <c r="O33" s="69"/>
    </row>
    <row r="34" spans="1:15" ht="15" customHeight="1" x14ac:dyDescent="0.25">
      <c r="A34" s="5"/>
      <c r="B34" s="165"/>
      <c r="C34" s="286"/>
      <c r="D34" s="167"/>
      <c r="F34" s="176"/>
      <c r="G34" s="176"/>
      <c r="H34" s="40"/>
      <c r="I34" s="122"/>
      <c r="J34" s="40"/>
      <c r="K34" s="57"/>
      <c r="L34" s="57"/>
      <c r="M34" s="58"/>
      <c r="N34" s="57"/>
      <c r="O34" s="69"/>
    </row>
    <row r="35" spans="1:15" ht="15" customHeight="1" x14ac:dyDescent="0.25">
      <c r="A35" s="308"/>
      <c r="B35" s="309" t="str">
        <f>Language!B365</f>
        <v>4) Sittdjup</v>
      </c>
      <c r="C35" s="296"/>
      <c r="D35" s="297"/>
      <c r="E35" s="298"/>
      <c r="F35" s="298"/>
      <c r="G35" s="298"/>
      <c r="H35" s="301"/>
      <c r="I35" s="302"/>
      <c r="J35" s="303"/>
      <c r="K35" s="57"/>
      <c r="L35" s="57"/>
      <c r="M35" s="58"/>
      <c r="N35" s="57"/>
      <c r="O35" s="69"/>
    </row>
    <row r="36" spans="1:15" ht="15" customHeight="1" x14ac:dyDescent="0.25">
      <c r="A36" s="5"/>
      <c r="B36" s="165"/>
      <c r="C36" s="286"/>
      <c r="D36" s="167"/>
      <c r="F36" s="176"/>
      <c r="G36" s="176"/>
      <c r="H36" s="40"/>
      <c r="I36" s="122"/>
      <c r="J36" s="40"/>
      <c r="K36" s="57"/>
      <c r="L36" s="57"/>
      <c r="M36" s="58"/>
      <c r="N36" s="57"/>
      <c r="O36" s="69"/>
    </row>
    <row r="37" spans="1:15" ht="15" customHeight="1" x14ac:dyDescent="0.25">
      <c r="A37" s="5"/>
      <c r="B37" s="165"/>
      <c r="C37" s="286"/>
      <c r="D37" s="282"/>
      <c r="E37" s="283" t="s">
        <v>10</v>
      </c>
      <c r="F37" s="284" t="s">
        <v>133</v>
      </c>
      <c r="G37" s="284" t="s">
        <v>9</v>
      </c>
      <c r="H37" s="40" t="s">
        <v>134</v>
      </c>
      <c r="I37" s="122"/>
      <c r="J37" s="40"/>
      <c r="K37" s="57"/>
      <c r="L37" s="57"/>
      <c r="M37" s="58"/>
      <c r="N37" s="57"/>
      <c r="O37" s="69"/>
    </row>
    <row r="38" spans="1:15" ht="15" customHeight="1" x14ac:dyDescent="0.25">
      <c r="A38" s="5"/>
      <c r="B38" s="165" t="str">
        <f>Language!B337</f>
        <v>Rensa</v>
      </c>
      <c r="C38" s="186" t="str">
        <f>Weights_U3!G32</f>
        <v/>
      </c>
      <c r="D38" s="849" t="str">
        <f>Language!B366</f>
        <v>Möjligt sitsdjup:</v>
      </c>
      <c r="E38" s="850"/>
      <c r="F38" s="786" t="str">
        <f>Weights_U3!G30</f>
        <v/>
      </c>
      <c r="G38" s="176"/>
      <c r="H38" s="40"/>
      <c r="I38" s="122"/>
      <c r="J38" s="40"/>
      <c r="K38" s="57"/>
      <c r="L38" s="57"/>
      <c r="M38" s="58"/>
      <c r="N38" s="57"/>
      <c r="O38" s="69"/>
    </row>
    <row r="39" spans="1:15" ht="15" customHeight="1" x14ac:dyDescent="0.25">
      <c r="A39" s="5"/>
      <c r="B39" s="165"/>
      <c r="C39" s="286"/>
      <c r="D39" s="167"/>
      <c r="E39" s="40"/>
      <c r="F39" s="176"/>
      <c r="G39" s="176"/>
      <c r="H39" s="40"/>
      <c r="I39" s="122"/>
      <c r="J39" s="40"/>
      <c r="K39" s="57"/>
      <c r="L39" s="57"/>
      <c r="M39" s="58"/>
      <c r="N39" s="57"/>
      <c r="O39" s="69"/>
    </row>
    <row r="40" spans="1:15" ht="15" customHeight="1" x14ac:dyDescent="0.25">
      <c r="A40" s="310"/>
      <c r="B40" s="309" t="str">
        <f>Language!B367</f>
        <v>5) Ryggstöd</v>
      </c>
      <c r="C40" s="311"/>
      <c r="D40" s="312"/>
      <c r="E40" s="313"/>
      <c r="F40" s="314"/>
      <c r="G40" s="314"/>
      <c r="H40" s="313"/>
      <c r="I40" s="315"/>
      <c r="J40" s="313"/>
      <c r="K40" s="57"/>
      <c r="L40" s="57"/>
      <c r="M40" s="58"/>
      <c r="N40" s="57"/>
      <c r="O40" s="69"/>
    </row>
    <row r="41" spans="1:15" ht="15" customHeight="1" x14ac:dyDescent="0.25">
      <c r="A41" s="84"/>
      <c r="B41" s="165"/>
      <c r="C41" s="167"/>
      <c r="D41" s="168"/>
      <c r="E41" s="40"/>
      <c r="F41" s="176"/>
      <c r="G41" s="176"/>
      <c r="H41" s="40"/>
      <c r="I41" s="122"/>
      <c r="J41" s="40"/>
      <c r="K41" s="57"/>
      <c r="L41" s="57"/>
      <c r="M41" s="58"/>
      <c r="N41" s="57"/>
      <c r="O41" s="69"/>
    </row>
    <row r="42" spans="1:15" ht="15" customHeight="1" x14ac:dyDescent="0.25">
      <c r="A42" s="78"/>
      <c r="B42" s="596" t="str">
        <f>Language!B368</f>
        <v>Standard</v>
      </c>
      <c r="C42" s="167"/>
      <c r="D42" s="169"/>
      <c r="E42" s="645" t="str">
        <f>Language!B369</f>
        <v xml:space="preserve">        Insvängd *</v>
      </c>
      <c r="F42" s="99"/>
      <c r="G42" s="262"/>
      <c r="H42" s="836" t="str">
        <f>Language!B372</f>
        <v xml:space="preserve">                Insvängd 6 cm *</v>
      </c>
      <c r="I42" s="836"/>
      <c r="J42" s="262"/>
      <c r="K42" s="57"/>
      <c r="L42" s="57"/>
      <c r="M42" s="58"/>
      <c r="N42" s="57"/>
      <c r="O42" s="69"/>
    </row>
    <row r="43" spans="1:15" ht="15" customHeight="1" x14ac:dyDescent="0.25">
      <c r="A43" s="5"/>
      <c r="B43" s="100"/>
      <c r="C43" s="167"/>
      <c r="D43" s="169"/>
      <c r="E43" s="645" t="str">
        <f>Language!B370</f>
        <v xml:space="preserve">        Bakåtbockad **</v>
      </c>
      <c r="F43" s="519"/>
      <c r="G43" s="262"/>
      <c r="H43" s="836" t="str">
        <f>Language!B373</f>
        <v xml:space="preserve">                   Utsvängd 3 cm **</v>
      </c>
      <c r="I43" s="836"/>
      <c r="J43" s="262"/>
      <c r="K43" s="57"/>
      <c r="L43" s="57"/>
      <c r="M43" s="58"/>
      <c r="N43" s="57"/>
      <c r="O43" s="69"/>
    </row>
    <row r="44" spans="1:15" ht="15" customHeight="1" x14ac:dyDescent="0.25">
      <c r="A44" s="77"/>
      <c r="B44" s="12"/>
      <c r="C44" s="49" t="str">
        <f>Language!B338</f>
        <v>art.nr.</v>
      </c>
      <c r="D44" s="169"/>
      <c r="E44" s="645" t="str">
        <f>Language!B371</f>
        <v xml:space="preserve">       För fasta ryggsystem ***</v>
      </c>
      <c r="F44" s="101"/>
      <c r="G44" s="101"/>
      <c r="H44" s="646" t="str">
        <f>Language!B374</f>
        <v xml:space="preserve">                  Bakåtbockad-insvängd***</v>
      </c>
      <c r="I44" s="520"/>
      <c r="J44" s="262"/>
      <c r="K44" s="57"/>
      <c r="L44" s="57"/>
      <c r="M44" s="58"/>
      <c r="N44" s="57"/>
      <c r="O44" s="69"/>
    </row>
    <row r="45" spans="1:15" ht="15" customHeight="1" x14ac:dyDescent="0.25">
      <c r="A45" s="36"/>
      <c r="B45" s="61" t="str">
        <f>Language!B337</f>
        <v>Rensa</v>
      </c>
      <c r="C45" s="191" t="str">
        <f>Weights_U3!E42</f>
        <v/>
      </c>
      <c r="D45" s="170"/>
      <c r="E45" s="100"/>
      <c r="F45" s="461" t="s">
        <v>157</v>
      </c>
      <c r="G45" s="463" t="str">
        <f>C33</f>
        <v/>
      </c>
      <c r="H45" s="63"/>
      <c r="J45" s="1"/>
      <c r="K45" s="57"/>
      <c r="L45" s="37"/>
      <c r="M45" s="58"/>
      <c r="N45" s="57"/>
      <c r="O45" s="69"/>
    </row>
    <row r="46" spans="1:15" ht="15" customHeight="1" x14ac:dyDescent="0.25">
      <c r="A46" s="84"/>
      <c r="B46" s="269" t="str">
        <f>Language!B375</f>
        <v>och</v>
      </c>
      <c r="C46" s="292" t="str">
        <f>Weights_U3!G42</f>
        <v/>
      </c>
      <c r="D46" s="291" t="str">
        <f>Language!B376</f>
        <v>klädsel</v>
      </c>
      <c r="E46" s="45"/>
      <c r="F46" s="462" t="s">
        <v>158</v>
      </c>
      <c r="G46" s="464" t="str">
        <f>C54</f>
        <v/>
      </c>
      <c r="H46" s="53"/>
      <c r="I46" s="53"/>
      <c r="J46" s="53"/>
      <c r="K46" s="37"/>
      <c r="L46" s="37"/>
      <c r="M46" s="58"/>
      <c r="N46" s="57"/>
      <c r="O46" s="69"/>
    </row>
    <row r="47" spans="1:15" ht="15" customHeight="1" x14ac:dyDescent="0.25">
      <c r="A47" s="84"/>
      <c r="B47" s="269"/>
      <c r="C47" s="456"/>
      <c r="D47" s="291"/>
      <c r="E47" s="45"/>
      <c r="F47" s="279"/>
      <c r="G47" s="279"/>
      <c r="H47" s="279"/>
      <c r="I47" s="279"/>
      <c r="J47" s="279"/>
      <c r="K47" s="37"/>
      <c r="L47" s="37"/>
      <c r="M47" s="58"/>
      <c r="N47" s="57"/>
      <c r="O47" s="69"/>
    </row>
    <row r="48" spans="1:15" ht="15" customHeight="1" x14ac:dyDescent="0.25">
      <c r="A48" s="84"/>
      <c r="B48" s="269"/>
      <c r="C48" s="171"/>
      <c r="D48" s="172"/>
      <c r="E48" s="45"/>
      <c r="F48" s="279"/>
      <c r="G48" s="279"/>
      <c r="H48" s="279"/>
      <c r="I48" s="279"/>
      <c r="J48" s="279"/>
      <c r="K48" s="37"/>
      <c r="L48" s="37"/>
      <c r="M48" s="58"/>
      <c r="N48" s="57"/>
      <c r="O48" s="69"/>
    </row>
    <row r="49" spans="1:15" ht="15" customHeight="1" x14ac:dyDescent="0.25">
      <c r="A49" s="810" t="s">
        <v>42</v>
      </c>
      <c r="B49" s="810"/>
      <c r="C49" s="810"/>
      <c r="D49" s="810"/>
      <c r="E49" s="810"/>
      <c r="F49" s="810"/>
      <c r="G49" s="810"/>
      <c r="H49" s="810"/>
      <c r="I49" s="810"/>
      <c r="J49" s="810"/>
      <c r="K49" s="37"/>
      <c r="L49" s="37"/>
      <c r="M49" s="58"/>
      <c r="N49" s="57"/>
      <c r="O49" s="69"/>
    </row>
    <row r="50" spans="1:15" ht="15" customHeight="1" x14ac:dyDescent="0.25">
      <c r="A50" s="84"/>
      <c r="B50" s="269"/>
      <c r="C50" s="171"/>
      <c r="D50" s="172"/>
      <c r="E50" s="45"/>
      <c r="F50" s="279"/>
      <c r="G50" s="279"/>
      <c r="H50" s="279"/>
      <c r="I50" s="279"/>
      <c r="J50" s="279"/>
      <c r="K50" s="37"/>
      <c r="L50" s="37"/>
      <c r="M50" s="58"/>
      <c r="N50" s="57"/>
      <c r="O50" s="69"/>
    </row>
    <row r="51" spans="1:15" ht="15" customHeight="1" x14ac:dyDescent="0.25">
      <c r="A51" s="316"/>
      <c r="B51" s="309" t="str">
        <f>Language!B377</f>
        <v>6) Ryggstödshöjd HH</v>
      </c>
      <c r="C51" s="317"/>
      <c r="D51" s="318"/>
      <c r="E51" s="319"/>
      <c r="F51" s="320"/>
      <c r="G51" s="320"/>
      <c r="H51" s="320"/>
      <c r="I51" s="320"/>
      <c r="J51" s="320"/>
      <c r="K51" s="37"/>
      <c r="L51" s="37"/>
      <c r="M51" s="58"/>
      <c r="N51" s="57"/>
      <c r="O51" s="69"/>
    </row>
    <row r="52" spans="1:15" ht="15" customHeight="1" x14ac:dyDescent="0.25">
      <c r="A52" s="184"/>
      <c r="B52" s="56"/>
      <c r="C52" s="59"/>
      <c r="D52" s="60"/>
      <c r="E52" s="45"/>
      <c r="F52" s="53"/>
      <c r="H52" s="63"/>
      <c r="J52" s="1"/>
      <c r="L52" s="37"/>
      <c r="M52" s="58"/>
      <c r="N52" s="57"/>
      <c r="O52" s="69"/>
    </row>
    <row r="53" spans="1:15" ht="15" customHeight="1" x14ac:dyDescent="0.25">
      <c r="A53" s="253"/>
      <c r="B53" s="87" t="str">
        <f>Language!B337</f>
        <v>Rensa</v>
      </c>
      <c r="C53" s="287" t="s">
        <v>11</v>
      </c>
      <c r="D53" s="288" t="s">
        <v>12</v>
      </c>
      <c r="E53" s="288" t="s">
        <v>2</v>
      </c>
      <c r="F53" s="288" t="s">
        <v>10</v>
      </c>
      <c r="G53" s="288" t="s">
        <v>9</v>
      </c>
      <c r="H53" s="288" t="s">
        <v>7</v>
      </c>
      <c r="I53" s="289"/>
      <c r="J53" s="1"/>
      <c r="K53" s="37"/>
      <c r="L53" s="37"/>
      <c r="M53" s="58"/>
      <c r="N53" s="57"/>
      <c r="O53" s="69"/>
    </row>
    <row r="54" spans="1:15" ht="15" customHeight="1" x14ac:dyDescent="0.25">
      <c r="B54" s="87"/>
      <c r="C54" s="185" t="str">
        <f>Weights_U3!E50</f>
        <v/>
      </c>
      <c r="D54" s="80"/>
      <c r="E54" s="80"/>
      <c r="F54" s="80"/>
      <c r="G54" s="80"/>
      <c r="H54" s="80"/>
      <c r="I54" s="126"/>
      <c r="J54" s="1"/>
      <c r="K54" s="37"/>
      <c r="L54" s="37"/>
      <c r="M54" s="58"/>
      <c r="N54" s="57"/>
      <c r="O54" s="69"/>
    </row>
    <row r="55" spans="1:15" ht="15" customHeight="1" x14ac:dyDescent="0.25">
      <c r="B55" s="87"/>
      <c r="C55" s="290"/>
      <c r="D55" s="80"/>
      <c r="E55" s="80"/>
      <c r="F55" s="80"/>
      <c r="G55" s="80"/>
      <c r="H55" s="80"/>
      <c r="I55" s="126"/>
      <c r="J55" s="1"/>
      <c r="K55" s="37"/>
      <c r="L55" s="37"/>
      <c r="M55" s="58"/>
      <c r="N55" s="57"/>
      <c r="O55" s="69"/>
    </row>
    <row r="56" spans="1:15" ht="15" customHeight="1" x14ac:dyDescent="0.25">
      <c r="A56" s="321"/>
      <c r="B56" s="309" t="str">
        <f>Language!B378</f>
        <v>7) Bakaxel</v>
      </c>
      <c r="C56" s="322"/>
      <c r="D56" s="323"/>
      <c r="E56" s="323"/>
      <c r="F56" s="323"/>
      <c r="G56" s="323"/>
      <c r="H56" s="323"/>
      <c r="I56" s="324"/>
      <c r="J56" s="301"/>
      <c r="K56" s="37"/>
      <c r="L56" s="37"/>
      <c r="M56" s="58"/>
      <c r="N56" s="57"/>
      <c r="O56" s="69"/>
    </row>
    <row r="57" spans="1:15" ht="15" customHeight="1" x14ac:dyDescent="0.25">
      <c r="A57" s="79"/>
      <c r="B57" s="61"/>
      <c r="C57" s="59"/>
      <c r="D57" s="60"/>
      <c r="E57" s="45"/>
      <c r="F57" s="53"/>
      <c r="J57" s="177" t="str">
        <f>Language!B338</f>
        <v>art.nr.</v>
      </c>
      <c r="K57" s="37"/>
      <c r="L57" s="37"/>
      <c r="M57" s="58"/>
      <c r="N57" s="57"/>
      <c r="O57" s="69"/>
    </row>
    <row r="58" spans="1:15" ht="15" customHeight="1" x14ac:dyDescent="0.25">
      <c r="B58" s="647" t="str">
        <f>Language!B368</f>
        <v>Standard</v>
      </c>
      <c r="C58" s="59"/>
      <c r="D58" s="60"/>
      <c r="E58" s="650" t="str">
        <f>Language!B380</f>
        <v xml:space="preserve">      Carbon +15 mm</v>
      </c>
      <c r="F58" s="26"/>
      <c r="G58" s="26"/>
      <c r="H58" s="835" t="str">
        <f>Language!B381</f>
        <v xml:space="preserve">           Annan bakaxel</v>
      </c>
      <c r="I58" s="841"/>
      <c r="J58" s="460"/>
      <c r="K58" s="37"/>
      <c r="L58" s="37"/>
      <c r="M58" s="58"/>
      <c r="N58" s="57"/>
      <c r="O58" s="69"/>
    </row>
    <row r="59" spans="1:15" ht="15" customHeight="1" x14ac:dyDescent="0.25">
      <c r="B59" s="82"/>
      <c r="C59" s="567" t="str">
        <f>Language!B338</f>
        <v>art.nr.</v>
      </c>
      <c r="D59" s="62"/>
      <c r="E59" s="838" t="str">
        <f>Language!B384</f>
        <v>Denna bakaxel används om man väljer till</v>
      </c>
      <c r="F59" s="838"/>
      <c r="G59" s="838"/>
      <c r="H59" s="1"/>
      <c r="I59" s="651" t="str">
        <f>Language!B382</f>
        <v>eller sitthöjd</v>
      </c>
      <c r="K59" s="37"/>
      <c r="L59" s="37"/>
      <c r="M59" s="58"/>
      <c r="N59" s="57"/>
      <c r="O59" s="69"/>
    </row>
    <row r="60" spans="1:15" ht="15" customHeight="1" x14ac:dyDescent="0.25">
      <c r="A60" s="27"/>
      <c r="B60" s="86" t="str">
        <f>Language!B337</f>
        <v>Rensa</v>
      </c>
      <c r="C60" s="187" t="str">
        <f>Weights_U3!E55</f>
        <v/>
      </c>
      <c r="E60" s="833" t="str">
        <f>Language!B385</f>
        <v>armstöd under Tillbehör och/eller val av ökad sitthöjd</v>
      </c>
      <c r="F60" s="833"/>
      <c r="G60" s="833"/>
      <c r="H60" s="52"/>
      <c r="I60" s="652" t="str">
        <f>Language!B383</f>
        <v>Öka sitthöjden</v>
      </c>
      <c r="J60" s="134" t="s">
        <v>25</v>
      </c>
      <c r="K60" s="37"/>
      <c r="L60" s="37"/>
      <c r="M60" s="58"/>
      <c r="N60" s="57"/>
      <c r="O60" s="69"/>
    </row>
    <row r="61" spans="1:15" ht="15" customHeight="1" x14ac:dyDescent="0.25">
      <c r="A61" s="27"/>
      <c r="B61" s="86"/>
      <c r="H61" s="8"/>
      <c r="I61" s="119"/>
      <c r="J61" s="119"/>
      <c r="K61" s="37"/>
      <c r="L61" s="37"/>
      <c r="M61" s="58"/>
      <c r="N61" s="57"/>
      <c r="O61" s="69"/>
    </row>
    <row r="62" spans="1:15" ht="15" customHeight="1" x14ac:dyDescent="0.25">
      <c r="A62" s="325"/>
      <c r="B62" s="309" t="str">
        <f>Language!B386</f>
        <v>8) Länkhjul</v>
      </c>
      <c r="C62" s="303"/>
      <c r="D62" s="303"/>
      <c r="E62" s="303"/>
      <c r="F62" s="303"/>
      <c r="G62" s="303"/>
      <c r="H62" s="326"/>
      <c r="I62" s="327"/>
      <c r="J62" s="327"/>
      <c r="K62" s="37"/>
      <c r="L62" s="37"/>
      <c r="M62" s="58"/>
      <c r="N62" s="57"/>
      <c r="O62" s="69"/>
    </row>
    <row r="63" spans="1:15" ht="15" customHeight="1" x14ac:dyDescent="0.25">
      <c r="A63" s="84"/>
      <c r="B63" s="86"/>
      <c r="K63" s="37"/>
      <c r="L63" s="37"/>
      <c r="M63" s="58"/>
      <c r="N63" s="57"/>
      <c r="O63" s="69"/>
    </row>
    <row r="64" spans="1:15" x14ac:dyDescent="0.25">
      <c r="A64" s="79"/>
      <c r="B64" s="587" t="str">
        <f>Language!B388</f>
        <v xml:space="preserve">  90 mm</v>
      </c>
      <c r="C64" s="90"/>
      <c r="E64" s="649" t="str">
        <f>Language!B387</f>
        <v>120 mm</v>
      </c>
      <c r="G64" s="21"/>
      <c r="I64" s="120"/>
      <c r="K64" s="37"/>
      <c r="L64" s="37"/>
      <c r="M64" s="58"/>
      <c r="N64" s="57"/>
      <c r="O64" s="69"/>
    </row>
    <row r="65" spans="1:15" ht="15.75" x14ac:dyDescent="0.25">
      <c r="A65" s="5"/>
      <c r="B65" s="22"/>
      <c r="C65" s="567" t="str">
        <f>Language!B338</f>
        <v>art.nr.</v>
      </c>
      <c r="D65" s="7"/>
      <c r="E65" s="643"/>
      <c r="F65" s="25"/>
      <c r="I65" s="128"/>
      <c r="K65" s="37"/>
      <c r="L65" s="37"/>
      <c r="M65" s="58"/>
      <c r="N65" s="57"/>
      <c r="O65" s="69"/>
    </row>
    <row r="66" spans="1:15" ht="15.75" x14ac:dyDescent="0.25">
      <c r="A66" s="5"/>
      <c r="B66" s="653" t="str">
        <f>Language!B337</f>
        <v>Rensa</v>
      </c>
      <c r="C66" s="187" t="str">
        <f>Weights_U3!E61</f>
        <v/>
      </c>
      <c r="D66" s="264" t="s">
        <v>84</v>
      </c>
      <c r="F66" s="25"/>
      <c r="H66" s="25"/>
      <c r="I66" s="120"/>
      <c r="K66" s="37"/>
      <c r="L66" s="37"/>
      <c r="N66" s="57"/>
      <c r="O66" s="69"/>
    </row>
    <row r="67" spans="1:15" x14ac:dyDescent="0.25">
      <c r="B67" s="89"/>
      <c r="C67" s="24"/>
      <c r="E67" s="8"/>
      <c r="F67" s="83"/>
      <c r="H67" s="8"/>
      <c r="I67" s="119"/>
      <c r="J67" s="119"/>
      <c r="K67" s="37"/>
      <c r="L67" s="37"/>
      <c r="N67" s="57"/>
      <c r="O67" s="69"/>
    </row>
    <row r="68" spans="1:15" ht="15.75" x14ac:dyDescent="0.25">
      <c r="A68" s="321"/>
      <c r="B68" s="309" t="str">
        <f>Language!B390</f>
        <v>9) Fotstöd</v>
      </c>
      <c r="C68" s="328"/>
      <c r="D68" s="303"/>
      <c r="E68" s="326"/>
      <c r="F68" s="329"/>
      <c r="G68" s="303"/>
      <c r="H68" s="326"/>
      <c r="I68" s="327"/>
      <c r="J68" s="327"/>
      <c r="K68" s="37"/>
      <c r="L68" s="37"/>
      <c r="N68" s="57"/>
      <c r="O68" s="69"/>
    </row>
    <row r="69" spans="1:15" x14ac:dyDescent="0.25">
      <c r="A69" s="79"/>
      <c r="B69" s="587" t="str">
        <f>Language!B391</f>
        <v xml:space="preserve">Titan U-form </v>
      </c>
      <c r="C69" s="522"/>
      <c r="D69" s="526"/>
      <c r="E69" s="648" t="str">
        <f>Language!B394</f>
        <v xml:space="preserve">       Titan, förlängd, förstärkt</v>
      </c>
      <c r="F69" s="26"/>
      <c r="G69" s="31"/>
      <c r="H69" s="839" t="str">
        <f>Language!B396</f>
        <v xml:space="preserve">                   Fotplatta  Carbon</v>
      </c>
      <c r="I69" s="839"/>
      <c r="L69" s="37"/>
      <c r="N69" s="57"/>
      <c r="O69" s="69"/>
    </row>
    <row r="70" spans="1:15" ht="15.75" x14ac:dyDescent="0.25">
      <c r="A70" s="5"/>
      <c r="B70" s="523"/>
      <c r="C70" s="524"/>
      <c r="D70" s="34"/>
      <c r="E70" s="3"/>
      <c r="F70" s="15"/>
      <c r="H70" s="8"/>
      <c r="I70" s="119"/>
      <c r="L70" s="37"/>
      <c r="N70" s="57"/>
      <c r="O70" s="69"/>
    </row>
    <row r="71" spans="1:15" ht="16.5" customHeight="1" x14ac:dyDescent="0.25">
      <c r="B71" s="587"/>
      <c r="C71" s="525"/>
      <c r="D71" s="32"/>
      <c r="E71" s="650"/>
      <c r="F71" s="26"/>
      <c r="L71" s="37"/>
      <c r="N71" s="57"/>
    </row>
    <row r="72" spans="1:15" x14ac:dyDescent="0.25">
      <c r="B72" s="96"/>
      <c r="C72" s="567" t="str">
        <f>Language!B338</f>
        <v>art.nr.</v>
      </c>
      <c r="E72" s="11"/>
      <c r="F72" s="236"/>
      <c r="L72" s="37"/>
    </row>
    <row r="73" spans="1:15" x14ac:dyDescent="0.25">
      <c r="B73" s="89" t="str">
        <f>Language!B337</f>
        <v>Rensa</v>
      </c>
      <c r="C73" s="187" t="str">
        <f>Weights_U3!E68</f>
        <v/>
      </c>
      <c r="E73" s="650"/>
      <c r="F73" s="26"/>
      <c r="G73" s="85"/>
      <c r="L73" s="37"/>
    </row>
    <row r="74" spans="1:15" x14ac:dyDescent="0.25">
      <c r="E74" s="654"/>
      <c r="F74" s="26" t="str">
        <f>Weights_U3!E69</f>
        <v/>
      </c>
    </row>
    <row r="75" spans="1:15" ht="15.75" x14ac:dyDescent="0.25">
      <c r="A75" s="27"/>
      <c r="B75" s="18"/>
      <c r="C75" s="32"/>
      <c r="D75" s="33"/>
      <c r="E75" s="650" t="str">
        <f>Language!B395</f>
        <v xml:space="preserve">          Plastplatta för fotbåge</v>
      </c>
      <c r="F75" s="26"/>
    </row>
    <row r="76" spans="1:15" x14ac:dyDescent="0.25">
      <c r="E76" s="655" t="str">
        <f>Language!B338</f>
        <v>art.nr.</v>
      </c>
      <c r="F76" s="187" t="str">
        <f>Weights_U3!E70</f>
        <v/>
      </c>
    </row>
    <row r="77" spans="1:15" x14ac:dyDescent="0.25">
      <c r="E77" s="96"/>
      <c r="F77" s="280"/>
    </row>
    <row r="78" spans="1:15" ht="15.75" x14ac:dyDescent="0.25">
      <c r="A78" s="321"/>
      <c r="B78" s="309" t="str">
        <f>Language!B397</f>
        <v>10) Broms</v>
      </c>
      <c r="C78" s="303"/>
      <c r="D78" s="303"/>
      <c r="E78" s="330"/>
      <c r="F78" s="296"/>
      <c r="G78" s="303"/>
      <c r="H78" s="303"/>
      <c r="I78" s="302"/>
      <c r="J78" s="303"/>
    </row>
    <row r="79" spans="1:15" x14ac:dyDescent="0.25">
      <c r="A79" s="79"/>
      <c r="B79" s="657" t="str">
        <f>Language!B398</f>
        <v xml:space="preserve">   S3 Standard</v>
      </c>
      <c r="C79" s="23"/>
      <c r="E79" s="648" t="str">
        <f>Language!B399</f>
        <v xml:space="preserve">        Enhandsbroms, höger</v>
      </c>
      <c r="F79" s="26"/>
      <c r="G79" s="262"/>
      <c r="H79" s="839" t="str">
        <f>Language!B401</f>
        <v xml:space="preserve">             Vårdarbroms</v>
      </c>
      <c r="I79" s="839"/>
      <c r="J79" s="262"/>
    </row>
    <row r="80" spans="1:15" x14ac:dyDescent="0.25">
      <c r="B80" s="10"/>
      <c r="E80" s="563" t="str">
        <f>Language!B400</f>
        <v xml:space="preserve">        Enhandsbroms, vänster</v>
      </c>
      <c r="F80" s="11"/>
      <c r="G80" s="262"/>
      <c r="H80" s="8"/>
      <c r="I80" s="8" t="str">
        <f>Language!B402</f>
        <v>Fyll i önskat art.nr:</v>
      </c>
      <c r="J80" s="185"/>
    </row>
    <row r="81" spans="1:12" ht="15.75" x14ac:dyDescent="0.25">
      <c r="A81" s="27"/>
      <c r="C81" s="656" t="str">
        <f>Language!B338</f>
        <v>art.nr.</v>
      </c>
      <c r="D81" s="842"/>
      <c r="E81" s="842"/>
      <c r="F81" s="28"/>
      <c r="H81" s="5"/>
    </row>
    <row r="82" spans="1:12" ht="15.75" x14ac:dyDescent="0.25">
      <c r="A82" s="5"/>
      <c r="B82" s="91" t="str">
        <f>Language!B337</f>
        <v>Rensa</v>
      </c>
      <c r="C82" s="187" t="str">
        <f>Weights_U3!E77</f>
        <v/>
      </c>
      <c r="D82" s="15"/>
      <c r="E82" s="21"/>
      <c r="G82" s="21"/>
      <c r="H82" s="39"/>
      <c r="I82" s="121"/>
      <c r="J82" s="34"/>
    </row>
    <row r="83" spans="1:12" x14ac:dyDescent="0.25">
      <c r="B83" s="91"/>
      <c r="D83" s="843"/>
      <c r="E83" s="843"/>
      <c r="F83" s="29"/>
      <c r="G83" s="17"/>
      <c r="H83" s="40"/>
      <c r="I83" s="122"/>
      <c r="J83" s="34"/>
    </row>
    <row r="84" spans="1:12" ht="15.75" x14ac:dyDescent="0.25">
      <c r="A84" s="321"/>
      <c r="B84" s="309" t="str">
        <f>Language!B403</f>
        <v>11) Drivhjul- utan drivring</v>
      </c>
      <c r="C84" s="303"/>
      <c r="D84" s="331"/>
      <c r="E84" s="331"/>
      <c r="F84" s="331"/>
      <c r="G84" s="332"/>
      <c r="H84" s="313"/>
      <c r="I84" s="315"/>
      <c r="J84" s="333"/>
    </row>
    <row r="86" spans="1:12" x14ac:dyDescent="0.25">
      <c r="A86" s="79"/>
      <c r="B86" s="658" t="str">
        <f>Language!B404</f>
        <v>24" Std</v>
      </c>
      <c r="C86" s="659" t="str">
        <f>Language!B413</f>
        <v>Däck Right Run</v>
      </c>
      <c r="D86" s="46"/>
      <c r="E86" s="650" t="str">
        <f>Language!B405</f>
        <v xml:space="preserve">       22" Std</v>
      </c>
      <c r="F86" s="112" t="str">
        <f>Language!B413</f>
        <v>Däck Right Run</v>
      </c>
      <c r="G86" s="17"/>
      <c r="H86" s="517"/>
      <c r="I86" s="657" t="str">
        <f>Language!B410</f>
        <v>Enhandsdrift</v>
      </c>
      <c r="J86" s="527"/>
      <c r="L86"/>
    </row>
    <row r="87" spans="1:12" x14ac:dyDescent="0.25">
      <c r="A87" s="240"/>
      <c r="B87" s="31" t="str">
        <f>Language!B404</f>
        <v>24" Std</v>
      </c>
      <c r="C87" s="660" t="str">
        <f>Language!B414</f>
        <v>Däck Marathon Plus</v>
      </c>
      <c r="D87" s="262"/>
      <c r="E87" s="113" t="str">
        <f>Language!B405</f>
        <v xml:space="preserve">       22" Std</v>
      </c>
      <c r="F87" s="112" t="str">
        <f>Language!B414</f>
        <v>Däck Marathon Plus</v>
      </c>
      <c r="G87" s="262"/>
      <c r="H87" s="8"/>
      <c r="I87" s="8" t="str">
        <f>Language!B402</f>
        <v>Fyll i önskat art.nr:</v>
      </c>
      <c r="J87" s="185"/>
      <c r="L87"/>
    </row>
    <row r="88" spans="1:12" x14ac:dyDescent="0.25">
      <c r="B88" s="31" t="str">
        <f>Language!B404</f>
        <v>24" Std</v>
      </c>
      <c r="C88" s="660" t="str">
        <f>Language!B415</f>
        <v>Däck Grovmönstrat</v>
      </c>
      <c r="D88" s="262"/>
      <c r="E88" s="115" t="str">
        <f>Language!B405</f>
        <v xml:space="preserve">       22" Std</v>
      </c>
      <c r="F88" s="15" t="str">
        <f>Language!B416</f>
        <v>Däck PU massivt</v>
      </c>
      <c r="G88" s="262"/>
      <c r="I88" s="661" t="str">
        <f>Language!B411</f>
        <v xml:space="preserve"> Drivhjul 24"x2" MTB</v>
      </c>
    </row>
    <row r="89" spans="1:12" ht="15.75" x14ac:dyDescent="0.25">
      <c r="A89" s="27"/>
      <c r="B89" s="31" t="str">
        <f>Language!B404</f>
        <v>24" Std</v>
      </c>
      <c r="C89" s="660" t="str">
        <f>Language!B416</f>
        <v>Däck PU massivt</v>
      </c>
      <c r="D89" s="262"/>
      <c r="E89" s="648" t="str">
        <f>Language!B406</f>
        <v xml:space="preserve">       25"  Spinergy X Svart</v>
      </c>
      <c r="F89" s="116"/>
      <c r="G89" s="659" t="str">
        <f>Language!B413</f>
        <v>Däck Right Run</v>
      </c>
      <c r="H89" s="22"/>
      <c r="I89" s="662" t="str">
        <f>Language!B412</f>
        <v>Titan drivringar</v>
      </c>
      <c r="J89" s="262"/>
    </row>
    <row r="90" spans="1:12" x14ac:dyDescent="0.25">
      <c r="B90" s="38"/>
      <c r="C90" s="38"/>
      <c r="D90" s="38"/>
      <c r="E90" s="115" t="str">
        <f>Language!B406</f>
        <v xml:space="preserve">       25"  Spinergy X Svart</v>
      </c>
      <c r="F90" s="116"/>
      <c r="G90" s="660" t="str">
        <f>Language!B414</f>
        <v>Däck Marathon Plus</v>
      </c>
      <c r="I90" s="119"/>
    </row>
    <row r="91" spans="1:12" x14ac:dyDescent="0.25">
      <c r="B91" s="89"/>
      <c r="E91" s="115" t="str">
        <f>Language!B407</f>
        <v xml:space="preserve">       26"  Spinergy X Svart</v>
      </c>
      <c r="F91" s="116"/>
      <c r="G91" s="112" t="str">
        <f>Language!B413</f>
        <v>Däck Right Run</v>
      </c>
    </row>
    <row r="92" spans="1:12" x14ac:dyDescent="0.25">
      <c r="B92" s="12"/>
      <c r="C92" s="23"/>
      <c r="E92" s="115" t="str">
        <f>Language!B407</f>
        <v xml:space="preserve">       26"  Spinergy X Svart</v>
      </c>
      <c r="F92" s="116"/>
      <c r="G92" s="114" t="str">
        <f>Language!B414</f>
        <v>Däck Marathon Plus</v>
      </c>
      <c r="L92" s="249"/>
    </row>
    <row r="93" spans="1:12" x14ac:dyDescent="0.25">
      <c r="A93" s="79"/>
      <c r="E93" s="648" t="str">
        <f>Language!B408</f>
        <v xml:space="preserve">       25"  Spinergy X Vit</v>
      </c>
      <c r="F93" s="116"/>
      <c r="G93" s="112" t="str">
        <f>Language!B413</f>
        <v>Däck Right Run</v>
      </c>
    </row>
    <row r="94" spans="1:12" x14ac:dyDescent="0.25">
      <c r="B94" s="22"/>
      <c r="E94" s="115" t="str">
        <f>Language!B408</f>
        <v xml:space="preserve">       25"  Spinergy X Vit</v>
      </c>
      <c r="F94" s="116"/>
      <c r="G94" s="114" t="str">
        <f>Language!B414</f>
        <v>Däck Marathon Plus</v>
      </c>
      <c r="I94" s="127"/>
    </row>
    <row r="95" spans="1:12" ht="15.75" x14ac:dyDescent="0.25">
      <c r="A95" s="27"/>
      <c r="C95" s="22"/>
      <c r="E95" s="115" t="str">
        <f>Language!B409</f>
        <v xml:space="preserve">       26"  Spinergy X Vit</v>
      </c>
      <c r="F95" s="116"/>
      <c r="G95" s="112" t="str">
        <f>Language!B413</f>
        <v>Däck Right Run</v>
      </c>
    </row>
    <row r="96" spans="1:12" x14ac:dyDescent="0.25">
      <c r="C96" s="656" t="str">
        <f>Language!B338</f>
        <v>art.nr.</v>
      </c>
      <c r="D96" s="41"/>
      <c r="E96" s="115" t="str">
        <f>Language!B409</f>
        <v xml:space="preserve">       26"  Spinergy X Vit</v>
      </c>
      <c r="F96" s="116"/>
      <c r="G96" s="114" t="str">
        <f>Language!B414</f>
        <v>Däck Marathon Plus</v>
      </c>
    </row>
    <row r="97" spans="1:15" x14ac:dyDescent="0.25">
      <c r="B97" s="89" t="str">
        <f>Language!B337</f>
        <v>Rensa</v>
      </c>
      <c r="C97" s="187" t="str">
        <f>Weights_U3!E96</f>
        <v/>
      </c>
      <c r="D97" s="263" t="s">
        <v>84</v>
      </c>
      <c r="F97" s="262"/>
    </row>
    <row r="98" spans="1:15" x14ac:dyDescent="0.25">
      <c r="B98" s="89"/>
      <c r="C98" s="280"/>
      <c r="D98" s="263"/>
      <c r="F98" s="263"/>
    </row>
    <row r="99" spans="1:15" ht="15" customHeight="1" x14ac:dyDescent="0.25">
      <c r="A99" s="810" t="s">
        <v>42</v>
      </c>
      <c r="B99" s="810"/>
      <c r="C99" s="810"/>
      <c r="D99" s="810"/>
      <c r="E99" s="810"/>
      <c r="F99" s="810"/>
      <c r="G99" s="810"/>
      <c r="H99" s="810"/>
      <c r="I99" s="810"/>
      <c r="J99" s="810"/>
      <c r="K99" s="37"/>
      <c r="L99" s="37"/>
      <c r="M99" s="58"/>
      <c r="N99" s="57"/>
      <c r="O99" s="69"/>
    </row>
    <row r="100" spans="1:15" s="64" customFormat="1" x14ac:dyDescent="0.25">
      <c r="A100" s="14"/>
      <c r="B100"/>
      <c r="C100"/>
      <c r="D100"/>
      <c r="E100"/>
      <c r="F100"/>
      <c r="G100"/>
      <c r="H100"/>
      <c r="I100" s="124"/>
      <c r="J100"/>
      <c r="K100" s="1"/>
      <c r="L100" s="1"/>
      <c r="M100"/>
      <c r="N100"/>
    </row>
    <row r="101" spans="1:15" s="64" customFormat="1" x14ac:dyDescent="0.25">
      <c r="A101" s="14"/>
      <c r="B101"/>
      <c r="C101"/>
      <c r="D101"/>
      <c r="E101"/>
      <c r="F101"/>
      <c r="G101"/>
      <c r="H101"/>
      <c r="I101" s="124"/>
      <c r="J101"/>
      <c r="K101" s="1"/>
      <c r="L101" s="1"/>
      <c r="M101"/>
      <c r="N101"/>
    </row>
    <row r="102" spans="1:15" s="64" customFormat="1" ht="15.75" x14ac:dyDescent="0.25">
      <c r="A102" s="321"/>
      <c r="B102" s="309" t="str">
        <f>Language!B417</f>
        <v>12) Drivring</v>
      </c>
      <c r="C102" s="303"/>
      <c r="D102" s="303"/>
      <c r="E102" s="303"/>
      <c r="F102" s="303"/>
      <c r="G102" s="303"/>
      <c r="H102" s="303"/>
      <c r="I102" s="302"/>
      <c r="J102" s="303"/>
      <c r="K102" s="1"/>
      <c r="L102" s="1"/>
      <c r="M102"/>
      <c r="N102"/>
    </row>
    <row r="103" spans="1:15" s="64" customFormat="1" x14ac:dyDescent="0.25">
      <c r="A103" s="14"/>
      <c r="B103"/>
      <c r="C103"/>
      <c r="D103"/>
      <c r="E103"/>
      <c r="F103"/>
      <c r="G103"/>
      <c r="H103"/>
      <c r="I103" s="124"/>
      <c r="J103"/>
      <c r="K103" s="1"/>
      <c r="L103" s="1"/>
      <c r="M103"/>
      <c r="N103"/>
    </row>
    <row r="104" spans="1:15" x14ac:dyDescent="0.25">
      <c r="A104" s="79"/>
      <c r="B104" s="587" t="str">
        <f>Language!B418</f>
        <v>Titan</v>
      </c>
      <c r="E104" s="658" t="str">
        <f>Language!B419</f>
        <v xml:space="preserve">      Paragrip</v>
      </c>
      <c r="F104" s="88"/>
      <c r="G104" s="262"/>
      <c r="I104" s="663" t="str">
        <f>Language!B421</f>
        <v>Maxgrepp 24"</v>
      </c>
      <c r="J104" s="262"/>
      <c r="N104" s="64"/>
    </row>
    <row r="105" spans="1:15" x14ac:dyDescent="0.25">
      <c r="B105" s="15"/>
      <c r="C105" s="28"/>
      <c r="E105" s="92"/>
      <c r="F105" s="92"/>
      <c r="I105" s="664" t="str">
        <f>Language!B422</f>
        <v>(innehåller latex)</v>
      </c>
      <c r="J105" s="53"/>
      <c r="M105" s="64"/>
    </row>
    <row r="106" spans="1:15" x14ac:dyDescent="0.25">
      <c r="C106" s="15"/>
      <c r="E106" s="586" t="str">
        <f>Language!B420</f>
        <v xml:space="preserve">       Tetragrip</v>
      </c>
      <c r="F106" s="22"/>
      <c r="G106" s="262"/>
      <c r="I106" s="665" t="str">
        <f>Language!B423</f>
        <v>Aluminium</v>
      </c>
    </row>
    <row r="107" spans="1:15" x14ac:dyDescent="0.25">
      <c r="C107" s="656" t="str">
        <f>Language!B338</f>
        <v>art.nr.</v>
      </c>
      <c r="E107" s="92"/>
      <c r="F107" s="92"/>
      <c r="H107" s="4"/>
      <c r="I107" s="141"/>
      <c r="L107" s="97"/>
    </row>
    <row r="108" spans="1:15" x14ac:dyDescent="0.25">
      <c r="B108" s="89" t="str">
        <f>Language!B337</f>
        <v>Rensa</v>
      </c>
      <c r="C108" s="187" t="str">
        <f>Weights_U3!E109</f>
        <v/>
      </c>
      <c r="D108" t="s">
        <v>84</v>
      </c>
      <c r="K108" s="97"/>
    </row>
    <row r="109" spans="1:15" ht="12.75" customHeight="1" x14ac:dyDescent="0.25">
      <c r="F109" s="42"/>
    </row>
    <row r="110" spans="1:15" s="64" customFormat="1" x14ac:dyDescent="0.25">
      <c r="A110" s="14"/>
      <c r="B110"/>
      <c r="C110" s="23"/>
      <c r="D110"/>
      <c r="E110"/>
      <c r="F110" s="42"/>
      <c r="G110"/>
      <c r="H110"/>
      <c r="I110" s="124"/>
      <c r="J110"/>
      <c r="K110" s="1"/>
      <c r="L110" s="1"/>
      <c r="M110"/>
      <c r="N110"/>
    </row>
    <row r="111" spans="1:15" ht="15.75" x14ac:dyDescent="0.25">
      <c r="A111" s="809" t="str">
        <f>Language!B424</f>
        <v>Tillbehör</v>
      </c>
      <c r="B111" s="809"/>
      <c r="C111" s="93"/>
      <c r="D111" s="93"/>
      <c r="E111" s="93"/>
      <c r="F111" s="94"/>
      <c r="G111" s="93"/>
      <c r="H111" s="93"/>
      <c r="I111" s="129"/>
      <c r="J111" s="93"/>
      <c r="N111" s="64"/>
    </row>
    <row r="112" spans="1:15" ht="15.75" x14ac:dyDescent="0.25">
      <c r="A112" s="51"/>
      <c r="B112" s="51" t="str">
        <f>Language!B425</f>
        <v>Sidoskydd</v>
      </c>
      <c r="C112" s="64"/>
      <c r="D112" s="64"/>
      <c r="E112" s="64"/>
      <c r="F112" s="51" t="str">
        <f>Language!B426</f>
        <v>Armstöd</v>
      </c>
      <c r="G112" s="64"/>
      <c r="H112" s="64"/>
      <c r="I112" s="801" t="str">
        <f>Language!B427</f>
        <v>Sidoskydd Carbon</v>
      </c>
      <c r="J112" s="801"/>
      <c r="M112" s="64"/>
    </row>
    <row r="113" spans="1:12" x14ac:dyDescent="0.25">
      <c r="B113" s="650" t="str">
        <f>Language!B428</f>
        <v xml:space="preserve">  Sidoskydd S3</v>
      </c>
      <c r="C113" s="28"/>
      <c r="F113" s="648" t="s">
        <v>231</v>
      </c>
      <c r="H113" s="43"/>
      <c r="I113" s="835" t="str">
        <f>Language!B431</f>
        <v>Utan skärm</v>
      </c>
      <c r="J113" s="835"/>
    </row>
    <row r="114" spans="1:12" x14ac:dyDescent="0.25">
      <c r="B114" s="4"/>
      <c r="C114" s="666" t="str">
        <f>Language!B429</f>
        <v>Video</v>
      </c>
      <c r="F114" s="666" t="str">
        <f>Language!B429</f>
        <v>Video</v>
      </c>
      <c r="G114" s="95"/>
      <c r="H114" s="43"/>
      <c r="I114" s="839" t="str">
        <f>Language!B432</f>
        <v>Liten skärm</v>
      </c>
      <c r="J114" s="839"/>
      <c r="L114" s="97"/>
    </row>
    <row r="115" spans="1:12" x14ac:dyDescent="0.25">
      <c r="C115" s="23"/>
      <c r="F115" s="95"/>
      <c r="G115" s="20"/>
      <c r="H115" s="15"/>
      <c r="I115" s="840" t="str">
        <f>Language!B433</f>
        <v>Stor skärm</v>
      </c>
      <c r="J115" s="840"/>
      <c r="K115" s="97"/>
    </row>
    <row r="116" spans="1:12" x14ac:dyDescent="0.25">
      <c r="B116" s="262"/>
      <c r="C116" s="656" t="str">
        <f>Language!B338</f>
        <v>art.nr.</v>
      </c>
      <c r="F116" s="262"/>
      <c r="J116" s="262"/>
    </row>
    <row r="117" spans="1:12" x14ac:dyDescent="0.25">
      <c r="B117" s="89" t="str">
        <f>Language!B337</f>
        <v>Rensa</v>
      </c>
      <c r="C117" s="187" t="str">
        <f>Weights_U3!E116</f>
        <v/>
      </c>
    </row>
    <row r="119" spans="1:12" ht="15.75" x14ac:dyDescent="0.25">
      <c r="A119" s="51"/>
      <c r="B119" s="51" t="str">
        <f>Language!B434</f>
        <v xml:space="preserve">  Körhandtag</v>
      </c>
      <c r="C119" s="64"/>
      <c r="D119" s="64"/>
      <c r="E119" s="801" t="str">
        <f>Language!B438</f>
        <v>Fällbara körhandtag</v>
      </c>
      <c r="F119" s="801"/>
      <c r="G119" s="801"/>
      <c r="H119" s="51"/>
      <c r="I119" s="800" t="str">
        <f>Language!B440</f>
        <v>Körbåge</v>
      </c>
      <c r="J119" s="800"/>
    </row>
    <row r="120" spans="1:12" x14ac:dyDescent="0.25">
      <c r="A120" s="47"/>
      <c r="B120" s="586" t="str">
        <f>Language!B435</f>
        <v>Höj / sänkbara S3</v>
      </c>
      <c r="C120" s="22"/>
      <c r="D120" s="95"/>
      <c r="E120" s="25"/>
      <c r="F120" s="648" t="str">
        <f>Language!B439</f>
        <v>Fällbara S3</v>
      </c>
      <c r="G120" s="666" t="str">
        <f>Language!B429</f>
        <v>Video</v>
      </c>
      <c r="H120" s="46"/>
      <c r="I120" s="835" t="str">
        <f>Language!B441</f>
        <v>Körbåge S3</v>
      </c>
      <c r="J120" s="835"/>
    </row>
    <row r="121" spans="1:12" x14ac:dyDescent="0.25">
      <c r="B121" s="667" t="str">
        <f>Language!B429</f>
        <v>Video</v>
      </c>
      <c r="C121" s="8"/>
      <c r="E121" s="26"/>
      <c r="F121" s="38"/>
      <c r="G121" s="31"/>
      <c r="H121" s="46"/>
      <c r="I121" s="796" t="str">
        <f>Language!B437</f>
        <v>Max. brukarvikt 100kg</v>
      </c>
      <c r="J121" s="796"/>
    </row>
    <row r="122" spans="1:12" x14ac:dyDescent="0.25">
      <c r="B122" s="658" t="str">
        <f>Language!B436</f>
        <v>Höj / sänkbara S3+10 cm</v>
      </c>
      <c r="E122" s="26"/>
      <c r="F122" s="31"/>
      <c r="G122" s="31"/>
      <c r="H122" s="38"/>
      <c r="I122" s="796"/>
      <c r="J122" s="796"/>
    </row>
    <row r="123" spans="1:12" x14ac:dyDescent="0.25">
      <c r="B123" s="54" t="str">
        <f>Language!B437</f>
        <v>Max. brukarvikt 100kg</v>
      </c>
      <c r="E123" s="22"/>
      <c r="F123" s="31"/>
      <c r="G123" s="21"/>
    </row>
    <row r="124" spans="1:12" x14ac:dyDescent="0.25">
      <c r="B124" s="262"/>
      <c r="C124" s="656" t="str">
        <f>Language!B338</f>
        <v>art.nr.</v>
      </c>
      <c r="E124" s="492"/>
      <c r="F124" s="262"/>
      <c r="J124" s="262"/>
    </row>
    <row r="125" spans="1:12" x14ac:dyDescent="0.25">
      <c r="B125" s="89" t="str">
        <f>Language!B337</f>
        <v>Rensa</v>
      </c>
      <c r="C125" s="191" t="str">
        <f>Weights_U3!E122</f>
        <v/>
      </c>
      <c r="E125" s="22"/>
    </row>
    <row r="126" spans="1:12" x14ac:dyDescent="0.25">
      <c r="C126" s="23"/>
      <c r="E126" s="22"/>
    </row>
    <row r="127" spans="1:12" ht="15.75" x14ac:dyDescent="0.25">
      <c r="B127" s="51" t="str">
        <f>Language!B442</f>
        <v>Tippskydd</v>
      </c>
      <c r="E127" s="106" t="str">
        <f>Language!B443</f>
        <v xml:space="preserve">         Dyna </v>
      </c>
      <c r="F127" s="51"/>
      <c r="G127" s="106" t="str">
        <f>Language!B444</f>
        <v>Kildyna</v>
      </c>
      <c r="H127" s="108"/>
      <c r="I127" s="800" t="str">
        <f>Language!B445</f>
        <v>Ekerskydd</v>
      </c>
      <c r="J127" s="800"/>
    </row>
    <row r="128" spans="1:12" ht="15.75" x14ac:dyDescent="0.25">
      <c r="A128" s="27"/>
      <c r="B128" s="587" t="str">
        <f>Language!B442</f>
        <v>Tippskydd</v>
      </c>
      <c r="F128" s="563" t="s">
        <v>16</v>
      </c>
      <c r="G128" s="563" t="str">
        <f>Language!B444</f>
        <v>Kildyna</v>
      </c>
      <c r="I128" s="860" t="str">
        <f>Language!B446</f>
        <v xml:space="preserve">           Med logga</v>
      </c>
      <c r="J128" s="860"/>
    </row>
    <row r="129" spans="1:10" ht="15" customHeight="1" x14ac:dyDescent="0.25">
      <c r="A129" s="65"/>
      <c r="B129" s="668" t="str">
        <f>Language!B429</f>
        <v>Video</v>
      </c>
      <c r="C129" s="52"/>
      <c r="E129" s="21"/>
      <c r="F129" s="563" t="s">
        <v>17</v>
      </c>
      <c r="G129" s="38"/>
      <c r="H129" s="81"/>
      <c r="I129" s="861" t="str">
        <f>Language!B447</f>
        <v xml:space="preserve">            Utan logga</v>
      </c>
      <c r="J129" s="861"/>
    </row>
    <row r="130" spans="1:10" x14ac:dyDescent="0.25">
      <c r="B130" s="4"/>
      <c r="C130" s="4"/>
      <c r="E130" s="21"/>
      <c r="F130" s="244" t="str">
        <f>Language!B337</f>
        <v>Rensa</v>
      </c>
      <c r="G130" s="21"/>
      <c r="H130" s="44"/>
      <c r="I130" s="804" t="str">
        <f>Language!B337</f>
        <v>Rensa</v>
      </c>
      <c r="J130" s="804"/>
    </row>
    <row r="131" spans="1:10" x14ac:dyDescent="0.25">
      <c r="B131" s="8"/>
      <c r="F131" s="98"/>
      <c r="H131" s="15"/>
      <c r="I131" s="805"/>
      <c r="J131" s="805"/>
    </row>
    <row r="132" spans="1:10" x14ac:dyDescent="0.25">
      <c r="B132" s="262"/>
      <c r="C132" s="656" t="str">
        <f>Language!B338</f>
        <v>art.nr.</v>
      </c>
      <c r="D132" s="656"/>
      <c r="E132" s="656"/>
      <c r="F132" s="656" t="str">
        <f>Language!B338</f>
        <v>art.nr.</v>
      </c>
      <c r="G132" s="656" t="str">
        <f>Language!B338</f>
        <v>art.nr.</v>
      </c>
      <c r="H132" s="656"/>
      <c r="I132" s="656"/>
      <c r="J132" s="656" t="str">
        <f>Language!B338</f>
        <v>art.nr.</v>
      </c>
    </row>
    <row r="133" spans="1:10" x14ac:dyDescent="0.25">
      <c r="C133" s="191" t="str">
        <f>Weights_U3!E124</f>
        <v/>
      </c>
      <c r="E133" s="262"/>
      <c r="F133" s="191" t="str">
        <f>Weights_U3!E128</f>
        <v/>
      </c>
      <c r="G133" s="191" t="str">
        <f>Weights_U3!E130</f>
        <v/>
      </c>
      <c r="H133" s="104"/>
      <c r="I133" s="123"/>
      <c r="J133" s="191" t="str">
        <f>Weights_U3!E134</f>
        <v/>
      </c>
    </row>
    <row r="134" spans="1:10" x14ac:dyDescent="0.25">
      <c r="F134" s="25"/>
      <c r="I134" s="119"/>
    </row>
    <row r="135" spans="1:10" ht="15.75" x14ac:dyDescent="0.25">
      <c r="B135" s="51" t="str">
        <f>Language!B448</f>
        <v>Övrigt</v>
      </c>
      <c r="H135" s="457" t="str">
        <f>Language!B458</f>
        <v>Ekerskydd med tema</v>
      </c>
      <c r="I135" s="108"/>
    </row>
    <row r="136" spans="1:10" x14ac:dyDescent="0.25">
      <c r="A136" s="243"/>
      <c r="B136" s="587" t="str">
        <f>Language!B449</f>
        <v>Rörskydd front (chassirör)</v>
      </c>
      <c r="C136" s="22"/>
      <c r="F136" s="586" t="str">
        <f>Language!B456</f>
        <v xml:space="preserve">     Bord S3</v>
      </c>
      <c r="G136" s="31"/>
      <c r="I136" s="669" t="str">
        <f>Language!B459</f>
        <v xml:space="preserve">22" eller 24" </v>
      </c>
    </row>
    <row r="137" spans="1:10" x14ac:dyDescent="0.25">
      <c r="B137" s="248" t="s">
        <v>90</v>
      </c>
      <c r="D137" s="262"/>
      <c r="F137" s="144">
        <v>6810020</v>
      </c>
      <c r="G137" s="262"/>
      <c r="I137" s="665" t="str">
        <f>Language!B460</f>
        <v>Splash</v>
      </c>
      <c r="J137" s="286"/>
    </row>
    <row r="138" spans="1:10" x14ac:dyDescent="0.25">
      <c r="B138" s="587" t="str">
        <f>Language!B450</f>
        <v>Rörskydd bak (ryggstödsbåge)</v>
      </c>
      <c r="C138" s="22"/>
      <c r="F138" s="48"/>
      <c r="I138" s="672" t="str">
        <f>Language!B461</f>
        <v>Car rim</v>
      </c>
    </row>
    <row r="139" spans="1:10" ht="15.75" x14ac:dyDescent="0.25">
      <c r="A139" s="27"/>
      <c r="B139" s="248" t="s">
        <v>91</v>
      </c>
      <c r="D139" s="262"/>
      <c r="E139" s="1"/>
      <c r="F139" s="670" t="str">
        <f>Language!B457</f>
        <v>reTyre</v>
      </c>
      <c r="G139" s="9"/>
      <c r="I139" s="672" t="str">
        <f>Language!B462</f>
        <v>Wild animals</v>
      </c>
    </row>
    <row r="140" spans="1:10" x14ac:dyDescent="0.25">
      <c r="B140" s="587" t="str">
        <f>Language!B451</f>
        <v>Kryckkäppshållare S3</v>
      </c>
      <c r="C140" s="22"/>
      <c r="D140" s="261">
        <v>2</v>
      </c>
      <c r="E140" s="15" t="s">
        <v>250</v>
      </c>
      <c r="F140" s="468" t="str">
        <f>Weights_U3!E102</f>
        <v/>
      </c>
      <c r="G140" s="21"/>
      <c r="H140" s="22"/>
      <c r="I140" s="672" t="str">
        <f>Language!B463</f>
        <v>Smiley</v>
      </c>
      <c r="J140" s="671" t="str">
        <f>Language!B338</f>
        <v>art.nr.</v>
      </c>
    </row>
    <row r="141" spans="1:10" x14ac:dyDescent="0.25">
      <c r="B141" s="248" t="str">
        <f>Language!B452</f>
        <v>9900301 (x1/crutch)</v>
      </c>
      <c r="C141" s="15"/>
      <c r="D141" s="262"/>
      <c r="E141" s="15"/>
      <c r="F141" s="15"/>
      <c r="G141" s="262"/>
      <c r="H141" s="15"/>
      <c r="I141" s="256" t="str">
        <f>Language!B337</f>
        <v>Rensa</v>
      </c>
      <c r="J141" s="191" t="str">
        <f>Weights_U3!E140</f>
        <v/>
      </c>
    </row>
    <row r="142" spans="1:10" x14ac:dyDescent="0.25">
      <c r="B142" s="587" t="str">
        <f>Language!B453</f>
        <v>Ryggkil</v>
      </c>
      <c r="D142" s="261">
        <v>2</v>
      </c>
      <c r="E142" s="15" t="s">
        <v>250</v>
      </c>
      <c r="F142" s="22"/>
      <c r="G142" s="21"/>
      <c r="H142" s="22"/>
    </row>
    <row r="143" spans="1:10" x14ac:dyDescent="0.25">
      <c r="B143" s="144">
        <v>4710012</v>
      </c>
      <c r="D143" s="262"/>
      <c r="F143" s="15"/>
      <c r="H143" s="15"/>
      <c r="I143" s="256"/>
    </row>
    <row r="144" spans="1:10" x14ac:dyDescent="0.25">
      <c r="B144" s="38" t="str">
        <f>Language!B454</f>
        <v>Välj art.nr. för Freewheel efter vilken fotstödshöjd rullstolen har.</v>
      </c>
      <c r="F144" s="15"/>
      <c r="H144" s="15"/>
    </row>
    <row r="145" spans="1:10" x14ac:dyDescent="0.25">
      <c r="B145" s="667" t="str">
        <f>Language!B455</f>
        <v>Läs mer om Freewheel på hemsidan</v>
      </c>
      <c r="C145" s="19"/>
      <c r="D145" s="19"/>
      <c r="E145" s="19"/>
      <c r="F145" s="262"/>
      <c r="H145" s="15"/>
    </row>
    <row r="146" spans="1:10" x14ac:dyDescent="0.25">
      <c r="B146" s="668" t="s">
        <v>18</v>
      </c>
      <c r="C146" s="806" t="s">
        <v>208</v>
      </c>
      <c r="D146" s="807"/>
      <c r="E146" s="808"/>
      <c r="F146" s="15"/>
      <c r="H146" s="15"/>
    </row>
    <row r="147" spans="1:10" x14ac:dyDescent="0.25">
      <c r="B147" s="15"/>
      <c r="C147" s="15"/>
      <c r="F147" s="15"/>
      <c r="H147" s="15"/>
    </row>
    <row r="148" spans="1:10" x14ac:dyDescent="0.25">
      <c r="B148" s="15"/>
      <c r="C148" s="15"/>
      <c r="F148" s="15"/>
      <c r="H148" s="15"/>
    </row>
    <row r="149" spans="1:10" x14ac:dyDescent="0.25">
      <c r="A149" s="796" t="s">
        <v>42</v>
      </c>
      <c r="B149" s="796"/>
      <c r="C149" s="796"/>
      <c r="D149" s="796"/>
      <c r="E149" s="796"/>
      <c r="F149" s="796"/>
      <c r="G149" s="796"/>
      <c r="H149" s="796"/>
      <c r="I149" s="796"/>
      <c r="J149" s="796"/>
    </row>
    <row r="150" spans="1:10" x14ac:dyDescent="0.25">
      <c r="B150" s="15"/>
      <c r="C150" s="15"/>
      <c r="F150" s="15"/>
      <c r="H150" s="15"/>
    </row>
    <row r="151" spans="1:10" x14ac:dyDescent="0.25">
      <c r="C151" s="15"/>
    </row>
    <row r="152" spans="1:10" ht="15.75" x14ac:dyDescent="0.25">
      <c r="A152" s="485" t="s">
        <v>353</v>
      </c>
      <c r="B152" s="485"/>
      <c r="C152" s="486"/>
      <c r="D152" s="93"/>
      <c r="E152" s="93"/>
      <c r="F152" s="93"/>
      <c r="G152" s="93"/>
      <c r="H152" s="93"/>
      <c r="I152" s="129"/>
      <c r="J152" s="93"/>
    </row>
    <row r="154" spans="1:10" ht="15.75" x14ac:dyDescent="0.25">
      <c r="B154" s="673" t="str">
        <f>Language!B465</f>
        <v>Ryggstödsvinkel</v>
      </c>
      <c r="F154" s="66"/>
      <c r="H154" s="673" t="str">
        <f>Language!B468</f>
        <v>Bakaxeljustering</v>
      </c>
    </row>
    <row r="155" spans="1:10" x14ac:dyDescent="0.25">
      <c r="B155" s="15" t="str">
        <f>Language!B466</f>
        <v>Notera mått(A) för önskad ryggstödsvinkel</v>
      </c>
      <c r="C155" s="15"/>
      <c r="D155" s="15"/>
      <c r="F155" s="31"/>
      <c r="H155" s="15" t="str">
        <f>Language!B469</f>
        <v>Ange måttet (A) för önskad balansering</v>
      </c>
    </row>
    <row r="156" spans="1:10" x14ac:dyDescent="0.25">
      <c r="B156" s="15" t="str">
        <f>Language!B467</f>
        <v>14-28 mm. Standard = 20 mm</v>
      </c>
      <c r="C156" s="15"/>
      <c r="D156" s="15"/>
      <c r="F156" s="31"/>
      <c r="H156" s="15" t="str">
        <f>Weights_U3!H153</f>
        <v>Standard = 40 mm</v>
      </c>
    </row>
    <row r="157" spans="1:10" x14ac:dyDescent="0.25">
      <c r="B157" s="2" t="s">
        <v>20</v>
      </c>
      <c r="C157" s="70">
        <v>20</v>
      </c>
      <c r="D157" t="s">
        <v>21</v>
      </c>
      <c r="F157" s="2"/>
      <c r="H157" s="2" t="s">
        <v>20</v>
      </c>
      <c r="I157" s="70"/>
      <c r="J157" t="s">
        <v>21</v>
      </c>
    </row>
    <row r="159" spans="1:10" x14ac:dyDescent="0.25">
      <c r="B159" s="66"/>
    </row>
    <row r="160" spans="1:10" ht="15.75" x14ac:dyDescent="0.25">
      <c r="B160" s="673" t="str">
        <f>Language!B471</f>
        <v>Fotstödshöjd</v>
      </c>
      <c r="D160" s="673" t="str">
        <f>Language!B472</f>
        <v xml:space="preserve"> -    Fotplattor</v>
      </c>
      <c r="F160" s="449" t="str">
        <f>Language!B474</f>
        <v>Transportmärkning</v>
      </c>
    </row>
    <row r="161" spans="1:12" x14ac:dyDescent="0.25">
      <c r="B161" s="15" t="str">
        <f>Language!B473</f>
        <v>Ange måttet (A) eller (B) för önskat fotstöd</v>
      </c>
      <c r="F161" s="38" t="str">
        <f>Language!B475</f>
        <v xml:space="preserve">          JA märk upp stolen med fästpunkter för transport i färdtjänstfordon.</v>
      </c>
    </row>
    <row r="162" spans="1:12" x14ac:dyDescent="0.25">
      <c r="B162" s="2" t="s">
        <v>20</v>
      </c>
      <c r="C162" s="70"/>
      <c r="F162" s="15" t="str">
        <f>Language!B476</f>
        <v>OBS! Se bruksanvisningen för närmare anvisningar.</v>
      </c>
    </row>
    <row r="163" spans="1:12" x14ac:dyDescent="0.25">
      <c r="B163" s="2" t="s">
        <v>22</v>
      </c>
      <c r="C163" s="70"/>
      <c r="D163" t="s">
        <v>21</v>
      </c>
    </row>
    <row r="168" spans="1:12" x14ac:dyDescent="0.25">
      <c r="A168" s="67" t="str">
        <f>Language!B477</f>
        <v xml:space="preserve">  Extra</v>
      </c>
      <c r="B168" s="851"/>
      <c r="C168" s="852">
        <v>1</v>
      </c>
      <c r="D168" s="852"/>
      <c r="E168" s="852"/>
      <c r="F168" s="852"/>
      <c r="G168" s="852"/>
      <c r="H168" s="852"/>
      <c r="I168" s="853"/>
    </row>
    <row r="169" spans="1:12" x14ac:dyDescent="0.25">
      <c r="B169" s="854"/>
      <c r="C169" s="855"/>
      <c r="D169" s="855"/>
      <c r="E169" s="855"/>
      <c r="F169" s="855"/>
      <c r="G169" s="855"/>
      <c r="H169" s="855"/>
      <c r="I169" s="856"/>
    </row>
    <row r="170" spans="1:12" x14ac:dyDescent="0.25">
      <c r="B170" s="854"/>
      <c r="C170" s="855"/>
      <c r="D170" s="855"/>
      <c r="E170" s="855"/>
      <c r="F170" s="855"/>
      <c r="G170" s="855"/>
      <c r="H170" s="855"/>
      <c r="I170" s="856"/>
    </row>
    <row r="171" spans="1:12" x14ac:dyDescent="0.25">
      <c r="B171" s="854"/>
      <c r="C171" s="855"/>
      <c r="D171" s="855"/>
      <c r="E171" s="855"/>
      <c r="F171" s="855"/>
      <c r="G171" s="855"/>
      <c r="H171" s="855"/>
      <c r="I171" s="856"/>
      <c r="L171" s="97"/>
    </row>
    <row r="172" spans="1:12" x14ac:dyDescent="0.25">
      <c r="B172" s="854"/>
      <c r="C172" s="855"/>
      <c r="D172" s="855"/>
      <c r="E172" s="855"/>
      <c r="F172" s="855"/>
      <c r="G172" s="855"/>
      <c r="H172" s="855"/>
      <c r="I172" s="856"/>
      <c r="K172" s="63"/>
      <c r="L172" s="97"/>
    </row>
    <row r="173" spans="1:12" x14ac:dyDescent="0.25">
      <c r="B173" s="854"/>
      <c r="C173" s="855"/>
      <c r="D173" s="855"/>
      <c r="E173" s="855"/>
      <c r="F173" s="855"/>
      <c r="G173" s="855"/>
      <c r="H173" s="855"/>
      <c r="I173" s="856"/>
      <c r="K173" s="63"/>
      <c r="L173" s="97"/>
    </row>
    <row r="174" spans="1:12" x14ac:dyDescent="0.25">
      <c r="B174" s="857"/>
      <c r="C174" s="858"/>
      <c r="D174" s="858"/>
      <c r="E174" s="858"/>
      <c r="F174" s="858"/>
      <c r="G174" s="858"/>
      <c r="H174" s="858"/>
      <c r="I174" s="859"/>
      <c r="K174" s="63"/>
      <c r="L174" s="97"/>
    </row>
    <row r="175" spans="1:12" x14ac:dyDescent="0.25">
      <c r="A175" s="796" t="s">
        <v>42</v>
      </c>
      <c r="B175" s="796"/>
      <c r="C175" s="796"/>
      <c r="D175" s="796"/>
      <c r="E175" s="796"/>
      <c r="F175" s="796"/>
      <c r="G175" s="796"/>
      <c r="H175" s="796"/>
      <c r="I175" s="796"/>
      <c r="J175" s="796"/>
      <c r="K175" s="63"/>
      <c r="L175" s="97"/>
    </row>
    <row r="176" spans="1:12" x14ac:dyDescent="0.25">
      <c r="A176" s="68"/>
      <c r="B176" s="64"/>
      <c r="C176" s="64"/>
      <c r="D176" s="64"/>
      <c r="E176" s="64"/>
      <c r="F176" s="64"/>
      <c r="G176" s="64"/>
      <c r="H176" s="64"/>
      <c r="I176" s="130"/>
      <c r="J176" s="64"/>
      <c r="K176" s="63"/>
      <c r="L176" s="97"/>
    </row>
    <row r="177" spans="1:13" x14ac:dyDescent="0.25">
      <c r="A177" s="477"/>
      <c r="B177" s="477" t="str">
        <f>Language!B478</f>
        <v>Sammanställning:</v>
      </c>
      <c r="C177" s="400"/>
      <c r="D177" s="401" t="str">
        <f>Language!B479</f>
        <v>Beskrivning</v>
      </c>
      <c r="E177" s="400"/>
      <c r="F177" s="401" t="str">
        <f>Language!B480</f>
        <v>art.nr.</v>
      </c>
      <c r="G177" s="402"/>
      <c r="H177" s="788" t="str">
        <f>Language!B957</f>
        <v>Pris:</v>
      </c>
      <c r="I177" s="9"/>
      <c r="J177" s="9"/>
      <c r="K177" s="9"/>
      <c r="L177" s="63"/>
      <c r="M177" s="97"/>
    </row>
    <row r="178" spans="1:13" x14ac:dyDescent="0.25">
      <c r="A178" s="403"/>
      <c r="B178" s="478" t="str">
        <f>Language!B481</f>
        <v>Rullstolsmodell:</v>
      </c>
      <c r="C178" s="404"/>
      <c r="D178" s="403" t="str">
        <f>Weights_U3!G3</f>
        <v/>
      </c>
      <c r="E178" s="405"/>
      <c r="F178" s="403" t="str">
        <f>C20</f>
        <v/>
      </c>
      <c r="G178" s="406"/>
      <c r="H178" s="773">
        <f>Weights_U3!D10</f>
        <v>0</v>
      </c>
      <c r="I178" s="64"/>
      <c r="J178" s="130"/>
      <c r="K178" s="399"/>
      <c r="L178" s="63"/>
      <c r="M178" s="97"/>
    </row>
    <row r="179" spans="1:13" x14ac:dyDescent="0.25">
      <c r="A179" s="403"/>
      <c r="B179" s="403" t="str">
        <f>Language!B482</f>
        <v>Chassifärg:</v>
      </c>
      <c r="C179" s="406"/>
      <c r="D179" s="403" t="str">
        <f>Weights_U3!G12</f>
        <v/>
      </c>
      <c r="E179" s="405"/>
      <c r="F179" s="403" t="str">
        <f>C27</f>
        <v/>
      </c>
      <c r="G179" s="406"/>
      <c r="H179" s="773">
        <f>Weights_U3!D15</f>
        <v>0</v>
      </c>
      <c r="I179" s="64"/>
      <c r="J179" s="130"/>
      <c r="K179" s="64"/>
      <c r="L179" s="97"/>
      <c r="M179" s="97"/>
    </row>
    <row r="180" spans="1:13" x14ac:dyDescent="0.25">
      <c r="A180" s="403"/>
      <c r="B180" s="403" t="str">
        <f>Language!B483</f>
        <v>Sittbredd:</v>
      </c>
      <c r="C180" s="406"/>
      <c r="D180" s="470" t="str">
        <f>C33</f>
        <v/>
      </c>
      <c r="E180" s="484" t="s">
        <v>165</v>
      </c>
      <c r="F180" s="403"/>
      <c r="G180" s="406"/>
      <c r="H180" s="773">
        <f>Weights_U3!D25</f>
        <v>0</v>
      </c>
      <c r="I180" s="64"/>
      <c r="J180" s="130"/>
      <c r="K180" s="64"/>
      <c r="L180" s="97"/>
      <c r="M180" s="97"/>
    </row>
    <row r="181" spans="1:13" x14ac:dyDescent="0.25">
      <c r="A181" s="403"/>
      <c r="B181" s="403" t="str">
        <f>Language!B484</f>
        <v>Sitsdjup:</v>
      </c>
      <c r="C181" s="406"/>
      <c r="D181" s="403" t="str">
        <f>C38</f>
        <v/>
      </c>
      <c r="E181" s="484" t="s">
        <v>165</v>
      </c>
      <c r="F181" s="403"/>
      <c r="G181" s="406"/>
      <c r="H181" s="773">
        <f>Weights_U3!D32</f>
        <v>0</v>
      </c>
      <c r="I181" s="64"/>
      <c r="J181" s="130"/>
      <c r="K181" s="64"/>
      <c r="L181" s="97"/>
      <c r="M181" s="97"/>
    </row>
    <row r="182" spans="1:13" x14ac:dyDescent="0.25">
      <c r="A182" s="403"/>
      <c r="B182" s="403" t="s">
        <v>359</v>
      </c>
      <c r="C182" s="406"/>
      <c r="D182" s="403" t="str">
        <f>Weights_U3!G34</f>
        <v/>
      </c>
      <c r="E182" s="450"/>
      <c r="F182" s="403" t="str">
        <f>C45</f>
        <v/>
      </c>
      <c r="G182" s="408"/>
      <c r="H182" s="773">
        <f>Weights_U3!D42</f>
        <v>0</v>
      </c>
      <c r="I182" s="64"/>
      <c r="J182" s="130"/>
      <c r="K182" s="64"/>
      <c r="L182" s="97"/>
      <c r="M182" s="97"/>
    </row>
    <row r="183" spans="1:13" x14ac:dyDescent="0.25">
      <c r="A183" s="403"/>
      <c r="B183" s="403" t="str">
        <f>Language!B868</f>
        <v>(Ev.ryggklädsel)</v>
      </c>
      <c r="C183" s="406"/>
      <c r="D183" s="403"/>
      <c r="E183" s="450"/>
      <c r="F183" s="403" t="str">
        <f>C46</f>
        <v/>
      </c>
      <c r="G183" s="408"/>
      <c r="H183" s="773">
        <v>0</v>
      </c>
      <c r="I183" s="64"/>
      <c r="J183" s="130"/>
      <c r="K183" s="64"/>
      <c r="L183" s="97"/>
      <c r="M183" s="97"/>
    </row>
    <row r="184" spans="1:13" x14ac:dyDescent="0.25">
      <c r="A184" s="403"/>
      <c r="B184" s="403" t="str">
        <f>Language!B486</f>
        <v>Ryggstödshöjd:</v>
      </c>
      <c r="C184" s="406"/>
      <c r="D184" s="471" t="str">
        <f>C54</f>
        <v/>
      </c>
      <c r="E184" s="484" t="s">
        <v>165</v>
      </c>
      <c r="F184" s="403"/>
      <c r="G184" s="409"/>
      <c r="H184" s="776">
        <v>0</v>
      </c>
      <c r="I184" s="64"/>
      <c r="J184" s="130"/>
      <c r="K184" s="64"/>
      <c r="L184" s="97"/>
      <c r="M184" s="97"/>
    </row>
    <row r="185" spans="1:13" x14ac:dyDescent="0.25">
      <c r="A185" s="403"/>
      <c r="B185" s="403" t="str">
        <f>Language!B488</f>
        <v>Bakaxel:</v>
      </c>
      <c r="C185" s="406"/>
      <c r="D185" s="403" t="str">
        <f>Weights_U3!G51</f>
        <v/>
      </c>
      <c r="E185" s="450"/>
      <c r="F185" s="403" t="str">
        <f>C60</f>
        <v/>
      </c>
      <c r="G185" s="410"/>
      <c r="H185" s="773" t="str">
        <f>Weights_U3!D55</f>
        <v>0</v>
      </c>
      <c r="I185" s="64"/>
      <c r="J185" s="130"/>
      <c r="K185" s="64"/>
      <c r="L185" s="97"/>
      <c r="M185" s="97"/>
    </row>
    <row r="186" spans="1:13" x14ac:dyDescent="0.25">
      <c r="A186" s="403"/>
      <c r="B186" s="403" t="str">
        <f>Language!B489</f>
        <v>Länkhjul:</v>
      </c>
      <c r="C186" s="406"/>
      <c r="D186" s="403" t="str">
        <f>Weights_U3!G57</f>
        <v/>
      </c>
      <c r="E186" s="418" t="s">
        <v>21</v>
      </c>
      <c r="F186" s="403" t="str">
        <f>C66</f>
        <v/>
      </c>
      <c r="G186" s="411" t="s">
        <v>130</v>
      </c>
      <c r="H186" s="773">
        <f>Weights_U3!D61</f>
        <v>0</v>
      </c>
      <c r="I186" s="64"/>
      <c r="J186" s="154"/>
      <c r="K186" s="64"/>
      <c r="L186" s="97"/>
      <c r="M186" s="97"/>
    </row>
    <row r="187" spans="1:13" x14ac:dyDescent="0.25">
      <c r="A187" s="403"/>
      <c r="B187" s="403" t="str">
        <f>Language!B490</f>
        <v>Fotstöd;</v>
      </c>
      <c r="C187" s="412"/>
      <c r="D187" s="403" t="str">
        <f>Weights_U3!G63</f>
        <v/>
      </c>
      <c r="E187" s="413"/>
      <c r="F187" s="403" t="str">
        <f>C73</f>
        <v/>
      </c>
      <c r="G187" s="411"/>
      <c r="H187" s="773" t="str">
        <f>Weights_U3!D68</f>
        <v>0</v>
      </c>
      <c r="I187" s="64"/>
      <c r="J187" s="154"/>
      <c r="K187" s="64"/>
      <c r="L187" s="97"/>
      <c r="M187" s="97"/>
    </row>
    <row r="188" spans="1:13" x14ac:dyDescent="0.25">
      <c r="A188" s="403"/>
      <c r="B188" s="403" t="str">
        <f>Language!B492</f>
        <v>Plastplatta:</v>
      </c>
      <c r="C188" s="412"/>
      <c r="D188" s="414" t="str">
        <f>Weights_U3!G69</f>
        <v/>
      </c>
      <c r="E188" s="413"/>
      <c r="F188" s="403" t="str">
        <f>F76</f>
        <v/>
      </c>
      <c r="G188" s="411"/>
      <c r="H188" s="773" t="str">
        <f>Weights_U3!D70</f>
        <v>0</v>
      </c>
      <c r="I188" s="64"/>
      <c r="J188" s="64"/>
      <c r="K188" s="156"/>
      <c r="L188" s="97"/>
      <c r="M188" s="97"/>
    </row>
    <row r="189" spans="1:13" x14ac:dyDescent="0.25">
      <c r="A189" s="403"/>
      <c r="B189" s="403" t="str">
        <f>Language!B493</f>
        <v>Broms:</v>
      </c>
      <c r="C189" s="406"/>
      <c r="D189" s="403" t="str">
        <f>Weights_U3!G72</f>
        <v/>
      </c>
      <c r="E189" s="413"/>
      <c r="F189" s="403" t="str">
        <f>C82</f>
        <v/>
      </c>
      <c r="G189" s="411"/>
      <c r="H189" s="773" t="str">
        <f>Weights_U3!D77</f>
        <v>0</v>
      </c>
      <c r="I189" s="64"/>
      <c r="J189" s="64"/>
      <c r="K189" s="156"/>
      <c r="L189" s="97"/>
      <c r="M189" s="97"/>
    </row>
    <row r="190" spans="1:13" x14ac:dyDescent="0.25">
      <c r="A190" s="403"/>
      <c r="B190" s="403" t="str">
        <f>Language!B494</f>
        <v>Drivhjul:</v>
      </c>
      <c r="C190" s="406"/>
      <c r="D190" s="845" t="str">
        <f>Weights_U3!G84</f>
        <v/>
      </c>
      <c r="E190" s="845"/>
      <c r="F190" s="403" t="str">
        <f>C97</f>
        <v/>
      </c>
      <c r="G190" s="411" t="s">
        <v>130</v>
      </c>
      <c r="H190" s="773">
        <f>Weights_U3!D96</f>
        <v>0</v>
      </c>
      <c r="I190" s="64"/>
      <c r="J190" s="64"/>
      <c r="K190" s="156"/>
      <c r="L190" s="97"/>
      <c r="M190" s="97"/>
    </row>
    <row r="191" spans="1:13" x14ac:dyDescent="0.25">
      <c r="A191" s="403"/>
      <c r="B191" s="403" t="str">
        <f>Language!B495</f>
        <v>Drivring:</v>
      </c>
      <c r="C191" s="406"/>
      <c r="D191" s="403" t="str">
        <f>Weights_U3!G104</f>
        <v/>
      </c>
      <c r="E191" s="413"/>
      <c r="F191" s="403" t="str">
        <f>C108</f>
        <v/>
      </c>
      <c r="G191" s="411" t="s">
        <v>130</v>
      </c>
      <c r="H191" s="773">
        <f>Weights_U3!D109</f>
        <v>0</v>
      </c>
      <c r="I191" s="64"/>
      <c r="J191" s="64"/>
      <c r="K191" s="64"/>
      <c r="L191" s="97"/>
      <c r="M191" s="97"/>
    </row>
    <row r="192" spans="1:13" x14ac:dyDescent="0.25">
      <c r="A192" s="415"/>
      <c r="B192" s="476" t="str">
        <f>Language!B496</f>
        <v>Tillbehör</v>
      </c>
      <c r="C192" s="402"/>
      <c r="D192" s="472"/>
      <c r="E192" s="473"/>
      <c r="F192" s="474"/>
      <c r="G192" s="475"/>
      <c r="H192" s="777"/>
      <c r="I192" s="64"/>
      <c r="J192" s="64"/>
      <c r="K192" s="64"/>
      <c r="L192" s="97"/>
      <c r="M192" s="97"/>
    </row>
    <row r="193" spans="1:13" x14ac:dyDescent="0.25">
      <c r="A193" s="403"/>
      <c r="B193" s="403" t="str">
        <f>Language!B497</f>
        <v>Sidoskydd:</v>
      </c>
      <c r="C193" s="406"/>
      <c r="D193" s="403" t="str">
        <f>Weights_U3!G110</f>
        <v/>
      </c>
      <c r="E193" s="413"/>
      <c r="F193" s="403" t="str">
        <f>C117</f>
        <v/>
      </c>
      <c r="G193" s="410"/>
      <c r="H193" s="773" t="str">
        <f>Weights_U3!D116</f>
        <v>0</v>
      </c>
      <c r="I193" s="64"/>
      <c r="J193" s="64"/>
      <c r="K193" s="64"/>
      <c r="L193" s="97"/>
      <c r="M193" s="97"/>
    </row>
    <row r="194" spans="1:13" x14ac:dyDescent="0.25">
      <c r="A194" s="403"/>
      <c r="B194" s="403" t="str">
        <f>Language!B498</f>
        <v>Körhandtag:</v>
      </c>
      <c r="C194" s="406"/>
      <c r="D194" s="403" t="str">
        <f>Weights_U3!G118</f>
        <v/>
      </c>
      <c r="E194" s="413"/>
      <c r="F194" s="403" t="str">
        <f>C125</f>
        <v/>
      </c>
      <c r="G194" s="410"/>
      <c r="H194" s="773" t="str">
        <f>Weights_U3!D122</f>
        <v>0</v>
      </c>
      <c r="I194" s="64"/>
      <c r="J194" s="64"/>
      <c r="K194" s="64"/>
      <c r="L194" s="97"/>
      <c r="M194" s="97"/>
    </row>
    <row r="195" spans="1:13" x14ac:dyDescent="0.25">
      <c r="A195" s="403"/>
      <c r="B195" s="403" t="str">
        <f>Language!B499</f>
        <v>Tippskydd:</v>
      </c>
      <c r="C195" s="406"/>
      <c r="D195" s="483" t="str">
        <f>Weights_U3!G124</f>
        <v/>
      </c>
      <c r="E195" s="413"/>
      <c r="F195" s="403" t="str">
        <f>C133</f>
        <v/>
      </c>
      <c r="G195" s="410"/>
      <c r="H195" s="773" t="str">
        <f>Weights_U3!D124</f>
        <v>0</v>
      </c>
      <c r="I195" s="64"/>
      <c r="J195" s="64"/>
      <c r="K195" s="64"/>
      <c r="L195" s="97"/>
      <c r="M195" s="97"/>
    </row>
    <row r="196" spans="1:13" x14ac:dyDescent="0.25">
      <c r="A196" s="403"/>
      <c r="B196" s="403" t="str">
        <f>Language!B500</f>
        <v>Dyna:</v>
      </c>
      <c r="C196" s="406"/>
      <c r="D196" s="403" t="str">
        <f>Weights_U3!G127</f>
        <v/>
      </c>
      <c r="E196" s="413"/>
      <c r="F196" s="403" t="str">
        <f>F133</f>
        <v/>
      </c>
      <c r="G196" s="410"/>
      <c r="H196" s="773" t="str">
        <f>Weights_U3!D128</f>
        <v>0</v>
      </c>
      <c r="I196" s="64"/>
      <c r="J196" s="64"/>
      <c r="K196" s="64"/>
      <c r="L196" s="97"/>
      <c r="M196" s="97"/>
    </row>
    <row r="197" spans="1:13" x14ac:dyDescent="0.25">
      <c r="A197" s="403"/>
      <c r="B197" s="403" t="str">
        <f>Language!B501</f>
        <v>Kildyna:</v>
      </c>
      <c r="C197" s="406"/>
      <c r="D197" s="483" t="str">
        <f>Weights_U3!G129</f>
        <v/>
      </c>
      <c r="E197" s="413"/>
      <c r="F197" s="403" t="str">
        <f>G133</f>
        <v/>
      </c>
      <c r="G197" s="410"/>
      <c r="H197" s="773" t="str">
        <f>Weights_U3!D130</f>
        <v>0</v>
      </c>
      <c r="I197" s="64"/>
      <c r="J197" s="64"/>
      <c r="K197" s="64"/>
      <c r="L197" s="97"/>
      <c r="M197" s="97"/>
    </row>
    <row r="198" spans="1:13" x14ac:dyDescent="0.25">
      <c r="A198" s="403"/>
      <c r="B198" s="403" t="str">
        <f>Language!B502</f>
        <v>Ekerskydd:</v>
      </c>
      <c r="C198" s="406"/>
      <c r="D198" s="403" t="str">
        <f>Weights_U3!G134</f>
        <v/>
      </c>
      <c r="E198" s="413"/>
      <c r="F198" s="403" t="str">
        <f>J133</f>
        <v/>
      </c>
      <c r="G198" s="410"/>
      <c r="H198" s="773" t="str">
        <f>Weights_U3!D134</f>
        <v>0</v>
      </c>
      <c r="I198" s="64"/>
      <c r="J198" s="64"/>
      <c r="K198" s="64"/>
      <c r="L198" s="97"/>
      <c r="M198" s="97"/>
    </row>
    <row r="199" spans="1:13" x14ac:dyDescent="0.25">
      <c r="A199" s="403"/>
      <c r="B199" s="403" t="str">
        <f>Language!B503</f>
        <v>Rörskydd.Fram:</v>
      </c>
      <c r="C199" s="406"/>
      <c r="D199" s="450" t="str">
        <f>Weights_U3!G142</f>
        <v/>
      </c>
      <c r="E199" s="413"/>
      <c r="F199" s="403" t="str">
        <f>Weights_U3!I142</f>
        <v/>
      </c>
      <c r="G199" s="410"/>
      <c r="H199" s="773">
        <f>Weights_U3!D142</f>
        <v>0</v>
      </c>
      <c r="I199" s="64"/>
      <c r="J199" s="64"/>
      <c r="K199" s="64"/>
      <c r="L199" s="97"/>
      <c r="M199" s="97"/>
    </row>
    <row r="200" spans="1:13" x14ac:dyDescent="0.25">
      <c r="A200" s="403"/>
      <c r="B200" s="403" t="str">
        <f>Language!B504</f>
        <v>Rörskydd.Bak:</v>
      </c>
      <c r="C200" s="406"/>
      <c r="D200" s="450" t="str">
        <f>Weights_U3!G143</f>
        <v/>
      </c>
      <c r="E200" s="413"/>
      <c r="F200" s="403" t="str">
        <f>Weights_U3!I143</f>
        <v/>
      </c>
      <c r="G200" s="410"/>
      <c r="H200" s="773" t="str">
        <f>Weights_U3!D143</f>
        <v>0</v>
      </c>
      <c r="I200" s="64"/>
      <c r="J200" s="64"/>
      <c r="K200" s="64"/>
      <c r="L200" s="97"/>
      <c r="M200" s="97"/>
    </row>
    <row r="201" spans="1:13" x14ac:dyDescent="0.25">
      <c r="A201" s="403"/>
      <c r="B201" s="403" t="str">
        <f>Language!B505</f>
        <v>Kryckkäpphållare:</v>
      </c>
      <c r="C201" s="416"/>
      <c r="D201" s="450" t="str">
        <f>Weights_U3!G144</f>
        <v/>
      </c>
      <c r="E201" s="417"/>
      <c r="F201" s="403" t="str">
        <f>Weights_U3!I144</f>
        <v/>
      </c>
      <c r="G201" s="410">
        <f>D140</f>
        <v>2</v>
      </c>
      <c r="H201" s="773">
        <f>Weights_U3!D144</f>
        <v>0</v>
      </c>
      <c r="I201" s="64"/>
      <c r="J201" s="64"/>
      <c r="K201" s="64"/>
      <c r="L201" s="97"/>
      <c r="M201" s="97"/>
    </row>
    <row r="202" spans="1:13" x14ac:dyDescent="0.25">
      <c r="A202" s="403"/>
      <c r="B202" s="403" t="str">
        <f>Language!B506</f>
        <v>Ryggkil:</v>
      </c>
      <c r="C202" s="416"/>
      <c r="D202" s="450" t="str">
        <f>Weights_U3!G145</f>
        <v/>
      </c>
      <c r="E202" s="417"/>
      <c r="F202" s="403" t="str">
        <f>Weights_U3!I145</f>
        <v/>
      </c>
      <c r="G202" s="410">
        <f>D142</f>
        <v>2</v>
      </c>
      <c r="H202" s="773">
        <f>Weights_U3!D145</f>
        <v>0</v>
      </c>
      <c r="I202" s="64"/>
      <c r="J202" s="64"/>
      <c r="K202" s="64"/>
      <c r="L202" s="97"/>
      <c r="M202" s="97"/>
    </row>
    <row r="203" spans="1:13" x14ac:dyDescent="0.25">
      <c r="A203" s="403"/>
      <c r="B203" s="403" t="str">
        <f>Language!B507</f>
        <v>Freewheel</v>
      </c>
      <c r="C203" s="416"/>
      <c r="D203" s="450" t="str">
        <f>Weights_U3!G146</f>
        <v/>
      </c>
      <c r="E203" s="848" t="str">
        <f>Weights_U3!E146</f>
        <v>Välj Freewheel</v>
      </c>
      <c r="F203" s="848"/>
      <c r="G203" s="848"/>
      <c r="H203" s="773" t="str">
        <f>Weights_U3!D146</f>
        <v>0</v>
      </c>
      <c r="I203" s="64"/>
      <c r="J203" s="64"/>
      <c r="K203" s="64"/>
      <c r="L203" s="97"/>
      <c r="M203" s="97"/>
    </row>
    <row r="204" spans="1:13" x14ac:dyDescent="0.25">
      <c r="A204" s="403"/>
      <c r="B204" s="403" t="str">
        <f>Language!B508</f>
        <v>Bord:</v>
      </c>
      <c r="C204" s="416"/>
      <c r="D204" s="450" t="str">
        <f>Weights_U3!G147</f>
        <v/>
      </c>
      <c r="E204" s="484"/>
      <c r="F204" s="484" t="str">
        <f>Weights_U3!I147</f>
        <v/>
      </c>
      <c r="G204" s="484"/>
      <c r="H204" s="773" t="str">
        <f>Weights_U3!D147</f>
        <v>0</v>
      </c>
      <c r="I204" s="64"/>
      <c r="J204" s="64"/>
      <c r="K204" s="64"/>
      <c r="L204" s="97"/>
      <c r="M204" s="97"/>
    </row>
    <row r="205" spans="1:13" x14ac:dyDescent="0.25">
      <c r="A205" s="403"/>
      <c r="B205" s="403" t="str">
        <f>Language!B509</f>
        <v>reTyre:</v>
      </c>
      <c r="C205" s="416"/>
      <c r="D205" s="450" t="str">
        <f>Weights_U3!G98</f>
        <v/>
      </c>
      <c r="E205" s="416"/>
      <c r="F205" s="403" t="str">
        <f>F140</f>
        <v/>
      </c>
      <c r="G205" s="419"/>
      <c r="H205" s="773" t="str">
        <f>Weights_U3!D102</f>
        <v>0</v>
      </c>
      <c r="I205" s="64"/>
      <c r="J205" s="64"/>
      <c r="K205" s="64"/>
      <c r="L205" s="97"/>
      <c r="M205" s="97"/>
    </row>
    <row r="206" spans="1:13" x14ac:dyDescent="0.25">
      <c r="A206" s="846" t="str">
        <f>Language!B502</f>
        <v>Ekerskydd:</v>
      </c>
      <c r="B206" s="847"/>
      <c r="C206" s="416"/>
      <c r="D206" s="416"/>
      <c r="E206" s="416"/>
      <c r="F206" s="419"/>
      <c r="G206" s="419"/>
      <c r="H206" s="773"/>
      <c r="I206"/>
      <c r="J206" s="124"/>
      <c r="K206" s="64"/>
      <c r="L206" s="97"/>
      <c r="M206" s="97"/>
    </row>
    <row r="207" spans="1:13" x14ac:dyDescent="0.25">
      <c r="A207" s="480"/>
      <c r="B207" s="481" t="str">
        <f>Language!B511</f>
        <v>med tema:</v>
      </c>
      <c r="C207" s="416"/>
      <c r="D207" s="450" t="str">
        <f>Weights_U3!G136</f>
        <v/>
      </c>
      <c r="E207" s="418">
        <f>Weights_U3!G137</f>
        <v>0</v>
      </c>
      <c r="F207" s="403" t="str">
        <f>J141</f>
        <v/>
      </c>
      <c r="G207" s="417" t="s">
        <v>34</v>
      </c>
      <c r="H207" s="773">
        <f>Weights_U3!D140</f>
        <v>0</v>
      </c>
      <c r="I207"/>
      <c r="J207" s="124"/>
      <c r="K207" s="64"/>
      <c r="L207" s="63"/>
      <c r="M207" s="97"/>
    </row>
    <row r="208" spans="1:13" x14ac:dyDescent="0.25">
      <c r="A208" s="415"/>
      <c r="B208" s="476" t="str">
        <f>Language!B512</f>
        <v>Inställningar</v>
      </c>
      <c r="C208" s="402"/>
      <c r="D208" s="472"/>
      <c r="E208" s="473"/>
      <c r="F208" s="474"/>
      <c r="G208" s="475"/>
      <c r="H208" s="775">
        <f>SUM(H178:H207)</f>
        <v>0</v>
      </c>
      <c r="I208"/>
      <c r="J208" s="124"/>
      <c r="K208" s="64"/>
      <c r="L208" s="63"/>
      <c r="M208" s="97"/>
    </row>
    <row r="209" spans="1:13" x14ac:dyDescent="0.25">
      <c r="A209" s="403"/>
      <c r="B209" s="403" t="str">
        <f>Language!B513</f>
        <v>Ryggstödsvinkel:</v>
      </c>
      <c r="C209" s="416"/>
      <c r="D209" s="528">
        <f xml:space="preserve"> C157</f>
        <v>20</v>
      </c>
      <c r="E209" s="487" t="s">
        <v>21</v>
      </c>
      <c r="F209" s="403"/>
      <c r="G209" s="417" t="s">
        <v>35</v>
      </c>
      <c r="H209" s="416"/>
      <c r="I209"/>
      <c r="J209" s="124"/>
      <c r="K209" s="64"/>
      <c r="L209" s="63"/>
      <c r="M209" s="97"/>
    </row>
    <row r="210" spans="1:13" x14ac:dyDescent="0.25">
      <c r="A210" s="403"/>
      <c r="B210" s="403" t="str">
        <f>Language!B514</f>
        <v>Bakaxel:</v>
      </c>
      <c r="C210" s="416"/>
      <c r="D210" s="528">
        <f xml:space="preserve"> I157</f>
        <v>0</v>
      </c>
      <c r="E210" s="487" t="s">
        <v>21</v>
      </c>
      <c r="F210" s="403"/>
      <c r="G210" s="417"/>
      <c r="H210" s="416"/>
      <c r="I210" s="132"/>
      <c r="J210" s="132" cm="1">
        <f t="array" ref="J210">_xlfn.SWITCH(D207,TRUE,(Weights!E148),)</f>
        <v>0</v>
      </c>
      <c r="K210" s="132"/>
      <c r="L210" s="97"/>
      <c r="M210" s="97"/>
    </row>
    <row r="211" spans="1:13" x14ac:dyDescent="0.25">
      <c r="A211" s="403"/>
      <c r="B211" s="403" t="str">
        <f>Language!B515</f>
        <v>Fotstöd A:</v>
      </c>
      <c r="C211" s="416"/>
      <c r="D211" s="451">
        <f>C162</f>
        <v>0</v>
      </c>
      <c r="E211" s="487" t="s">
        <v>21</v>
      </c>
      <c r="F211" s="453" t="s">
        <v>33</v>
      </c>
      <c r="G211" s="452" t="s">
        <v>36</v>
      </c>
      <c r="H211" s="416"/>
      <c r="I211" s="132"/>
      <c r="J211" s="132" cm="1">
        <f t="array" ref="J211">_xlfn.SWITCH(D209,TRUE,(Weights!E149),)</f>
        <v>0</v>
      </c>
      <c r="K211" s="132"/>
      <c r="L211" s="97"/>
      <c r="M211" s="97"/>
    </row>
    <row r="212" spans="1:13" x14ac:dyDescent="0.25">
      <c r="A212" s="403"/>
      <c r="B212" s="403" t="str">
        <f>Language!B516</f>
        <v>Fotstöd B:</v>
      </c>
      <c r="C212" s="416"/>
      <c r="D212" s="451">
        <f>C163</f>
        <v>0</v>
      </c>
      <c r="E212" s="487" t="s">
        <v>21</v>
      </c>
      <c r="F212" s="453" t="s">
        <v>39</v>
      </c>
      <c r="G212" s="452" t="s">
        <v>37</v>
      </c>
      <c r="H212" s="416"/>
      <c r="I212" s="132"/>
      <c r="J212" s="132" cm="1">
        <f t="array" ref="J212">_xlfn.SWITCH(D211,TRUE,(Weights!E150),)</f>
        <v>0</v>
      </c>
      <c r="K212" s="132"/>
      <c r="L212" s="97"/>
      <c r="M212" s="97"/>
    </row>
    <row r="213" spans="1:13" x14ac:dyDescent="0.25">
      <c r="A213" s="403"/>
      <c r="B213" s="403" t="str">
        <f>Language!B517</f>
        <v>Transportmärkning:</v>
      </c>
      <c r="C213" s="416"/>
      <c r="D213" s="454" t="str" cm="1">
        <f t="array" ref="D213">_xlfn.SWITCH(E213,TRUE,("JA"),"NEJ")</f>
        <v>NEJ</v>
      </c>
      <c r="E213" s="452" t="b">
        <v>0</v>
      </c>
      <c r="F213" s="453" t="s">
        <v>18</v>
      </c>
      <c r="G213" s="452" t="s">
        <v>38</v>
      </c>
      <c r="H213" s="416"/>
      <c r="I213" s="132"/>
      <c r="J213" s="132" cm="1">
        <f t="array" ref="J213">_xlfn.SWITCH(D211,TRUE,(Weights!E150),)</f>
        <v>0</v>
      </c>
      <c r="K213" s="132"/>
      <c r="L213" s="97"/>
      <c r="M213" s="97"/>
    </row>
    <row r="214" spans="1:13" x14ac:dyDescent="0.25">
      <c r="A214" s="97"/>
      <c r="B214" s="97"/>
      <c r="I214"/>
      <c r="K214"/>
      <c r="L214"/>
    </row>
    <row r="215" spans="1:13" x14ac:dyDescent="0.25">
      <c r="A215" s="97"/>
      <c r="B215" s="97"/>
      <c r="I215"/>
      <c r="K215"/>
      <c r="L215"/>
    </row>
    <row r="216" spans="1:13" x14ac:dyDescent="0.25">
      <c r="A216" s="97"/>
      <c r="B216" s="97"/>
      <c r="I216"/>
      <c r="K216"/>
      <c r="L216"/>
    </row>
    <row r="217" spans="1:13" x14ac:dyDescent="0.25">
      <c r="A217" s="97"/>
      <c r="B217" s="97"/>
      <c r="I217"/>
      <c r="K217"/>
      <c r="L217"/>
    </row>
    <row r="218" spans="1:13" x14ac:dyDescent="0.25">
      <c r="A218" s="97"/>
      <c r="B218" s="97"/>
      <c r="I218"/>
      <c r="K218"/>
      <c r="L218"/>
    </row>
    <row r="219" spans="1:13" x14ac:dyDescent="0.25">
      <c r="A219" s="97"/>
      <c r="B219" s="97"/>
      <c r="I219"/>
      <c r="K219"/>
      <c r="L219"/>
    </row>
    <row r="220" spans="1:13" x14ac:dyDescent="0.25">
      <c r="A220" s="97"/>
      <c r="B220" s="97"/>
      <c r="I220"/>
      <c r="K220"/>
      <c r="L220"/>
    </row>
    <row r="221" spans="1:13" x14ac:dyDescent="0.25">
      <c r="A221" s="97"/>
      <c r="B221" s="97"/>
      <c r="I221"/>
      <c r="K221"/>
      <c r="L221"/>
    </row>
    <row r="222" spans="1:13" x14ac:dyDescent="0.25">
      <c r="A222" s="97"/>
      <c r="B222" s="97"/>
      <c r="I222"/>
      <c r="K222"/>
      <c r="L222"/>
    </row>
    <row r="223" spans="1:13" x14ac:dyDescent="0.25">
      <c r="A223" s="97"/>
      <c r="B223" s="97"/>
      <c r="I223"/>
      <c r="K223"/>
      <c r="L223"/>
    </row>
    <row r="224" spans="1:13" x14ac:dyDescent="0.25">
      <c r="A224" s="97"/>
      <c r="B224" s="97"/>
      <c r="I224"/>
      <c r="K224"/>
      <c r="L224"/>
    </row>
    <row r="225" spans="1:12" x14ac:dyDescent="0.25">
      <c r="A225" s="97"/>
      <c r="B225" s="97"/>
      <c r="I225"/>
      <c r="K225"/>
      <c r="L225"/>
    </row>
    <row r="226" spans="1:12" x14ac:dyDescent="0.25">
      <c r="A226" s="97"/>
      <c r="B226" s="97"/>
      <c r="I226"/>
      <c r="K226"/>
      <c r="L226"/>
    </row>
    <row r="227" spans="1:12" x14ac:dyDescent="0.25">
      <c r="A227" s="97"/>
      <c r="B227" s="97"/>
      <c r="I227"/>
      <c r="K227"/>
      <c r="L227"/>
    </row>
    <row r="228" spans="1:12" x14ac:dyDescent="0.25">
      <c r="A228" s="97"/>
      <c r="B228" s="97"/>
      <c r="I228"/>
      <c r="K228"/>
      <c r="L228"/>
    </row>
    <row r="229" spans="1:12" x14ac:dyDescent="0.25">
      <c r="A229" s="97"/>
      <c r="B229" s="97"/>
      <c r="I229"/>
      <c r="K229"/>
      <c r="L229"/>
    </row>
    <row r="230" spans="1:12" x14ac:dyDescent="0.25">
      <c r="A230" s="97"/>
      <c r="B230" s="97"/>
      <c r="I230"/>
      <c r="K230"/>
      <c r="L230"/>
    </row>
    <row r="231" spans="1:12" x14ac:dyDescent="0.25">
      <c r="A231" s="97"/>
      <c r="B231" s="97"/>
      <c r="I231"/>
      <c r="K231"/>
      <c r="L231"/>
    </row>
    <row r="232" spans="1:12" x14ac:dyDescent="0.25">
      <c r="A232" s="97"/>
      <c r="B232" s="97"/>
      <c r="I232"/>
      <c r="K232"/>
      <c r="L232"/>
    </row>
    <row r="233" spans="1:12" x14ac:dyDescent="0.25">
      <c r="A233" s="97"/>
      <c r="B233" s="1"/>
      <c r="I233"/>
      <c r="K233"/>
      <c r="L233"/>
    </row>
    <row r="234" spans="1:12" x14ac:dyDescent="0.25">
      <c r="A234" s="97"/>
      <c r="B234" s="1"/>
      <c r="I234"/>
      <c r="K234"/>
      <c r="L234"/>
    </row>
    <row r="235" spans="1:12" x14ac:dyDescent="0.25">
      <c r="A235" s="1"/>
      <c r="B235" s="1"/>
      <c r="I235"/>
      <c r="K235"/>
      <c r="L235"/>
    </row>
    <row r="236" spans="1:12" x14ac:dyDescent="0.25">
      <c r="A236" s="1"/>
      <c r="B236" s="1"/>
      <c r="I236"/>
      <c r="K236"/>
      <c r="L236"/>
    </row>
    <row r="237" spans="1:12" x14ac:dyDescent="0.25">
      <c r="A237" s="1"/>
      <c r="B237" s="1"/>
      <c r="I237"/>
      <c r="K237"/>
      <c r="L237"/>
    </row>
    <row r="238" spans="1:12" x14ac:dyDescent="0.25">
      <c r="A238" s="1"/>
      <c r="B238" s="1"/>
      <c r="I238"/>
      <c r="K238"/>
      <c r="L238"/>
    </row>
    <row r="239" spans="1:12" x14ac:dyDescent="0.25">
      <c r="A239" s="1"/>
      <c r="B239" s="1"/>
      <c r="I239"/>
      <c r="K239"/>
      <c r="L239"/>
    </row>
    <row r="240" spans="1:12" x14ac:dyDescent="0.25">
      <c r="A240" s="1"/>
      <c r="B240" s="1"/>
      <c r="I240"/>
      <c r="K240"/>
      <c r="L240"/>
    </row>
    <row r="241" spans="1:12" x14ac:dyDescent="0.25">
      <c r="A241" s="1"/>
      <c r="B241" s="1"/>
      <c r="I241"/>
      <c r="K241"/>
      <c r="L241"/>
    </row>
    <row r="242" spans="1:12" x14ac:dyDescent="0.25">
      <c r="A242" s="1"/>
      <c r="B242" s="1"/>
      <c r="I242"/>
      <c r="K242"/>
      <c r="L242"/>
    </row>
    <row r="243" spans="1:12" x14ac:dyDescent="0.25">
      <c r="A243" s="1"/>
      <c r="B243" s="1"/>
      <c r="I243"/>
      <c r="K243"/>
      <c r="L243"/>
    </row>
    <row r="244" spans="1:12" x14ac:dyDescent="0.25">
      <c r="A244" s="1"/>
      <c r="B244" s="1"/>
      <c r="I244"/>
      <c r="K244"/>
      <c r="L244"/>
    </row>
    <row r="245" spans="1:12" x14ac:dyDescent="0.25">
      <c r="A245" s="1"/>
      <c r="B245" s="1"/>
      <c r="I245"/>
      <c r="K245"/>
      <c r="L245"/>
    </row>
    <row r="246" spans="1:12" x14ac:dyDescent="0.25">
      <c r="A246" s="1"/>
      <c r="B246" s="1"/>
      <c r="I246"/>
      <c r="K246"/>
      <c r="L246"/>
    </row>
    <row r="247" spans="1:12" x14ac:dyDescent="0.25">
      <c r="A247" s="1"/>
      <c r="B247" s="1"/>
      <c r="I247"/>
      <c r="K247"/>
      <c r="L247"/>
    </row>
    <row r="248" spans="1:12" x14ac:dyDescent="0.25">
      <c r="A248" s="1"/>
      <c r="B248" s="1"/>
      <c r="I248"/>
      <c r="K248"/>
      <c r="L248"/>
    </row>
    <row r="249" spans="1:12" x14ac:dyDescent="0.25">
      <c r="A249" s="1"/>
      <c r="B249" s="1"/>
      <c r="I249"/>
      <c r="K249"/>
      <c r="L249"/>
    </row>
    <row r="250" spans="1:12" x14ac:dyDescent="0.25">
      <c r="A250" s="1"/>
      <c r="B250" s="1"/>
      <c r="I250"/>
      <c r="K250"/>
      <c r="L250"/>
    </row>
    <row r="251" spans="1:12" x14ac:dyDescent="0.25">
      <c r="C251" s="64"/>
      <c r="D251" s="64"/>
      <c r="E251" s="64"/>
      <c r="F251" s="64"/>
    </row>
  </sheetData>
  <sheetProtection algorithmName="SHA-512" hashValue="DhjXXw556V66Yhusgy+1j3GcSYZFtjgHsWVIwmL2WukyCAV0WlrkQzr7EIbpb7Ia/1V8bn0kFZ+dnw0zWgW1LQ==" saltValue="cuBFqmcKCiSVhpgK/d25aw==" spinCount="100000" sheet="1" objects="1" scenarios="1"/>
  <mergeCells count="53">
    <mergeCell ref="H3:J3"/>
    <mergeCell ref="D190:E190"/>
    <mergeCell ref="A206:B206"/>
    <mergeCell ref="E203:G203"/>
    <mergeCell ref="D33:E33"/>
    <mergeCell ref="D38:E38"/>
    <mergeCell ref="A49:J49"/>
    <mergeCell ref="A149:J149"/>
    <mergeCell ref="A99:J99"/>
    <mergeCell ref="B168:I174"/>
    <mergeCell ref="A175:J175"/>
    <mergeCell ref="I121:J121"/>
    <mergeCell ref="I122:J122"/>
    <mergeCell ref="I127:J127"/>
    <mergeCell ref="I128:J128"/>
    <mergeCell ref="I129:J129"/>
    <mergeCell ref="A111:B111"/>
    <mergeCell ref="B2:G2"/>
    <mergeCell ref="I130:J130"/>
    <mergeCell ref="I131:J131"/>
    <mergeCell ref="C146:E146"/>
    <mergeCell ref="I112:J112"/>
    <mergeCell ref="I113:J113"/>
    <mergeCell ref="I114:J114"/>
    <mergeCell ref="I115:J115"/>
    <mergeCell ref="E119:G119"/>
    <mergeCell ref="I119:J119"/>
    <mergeCell ref="H58:I58"/>
    <mergeCell ref="H69:I69"/>
    <mergeCell ref="H79:I79"/>
    <mergeCell ref="D81:E81"/>
    <mergeCell ref="D83:E83"/>
    <mergeCell ref="I120:J120"/>
    <mergeCell ref="L26:M26"/>
    <mergeCell ref="H42:I42"/>
    <mergeCell ref="H43:I43"/>
    <mergeCell ref="B5:D5"/>
    <mergeCell ref="F5:G5"/>
    <mergeCell ref="B6:D6"/>
    <mergeCell ref="F6:G6"/>
    <mergeCell ref="B7:D7"/>
    <mergeCell ref="E20:H20"/>
    <mergeCell ref="H8:J8"/>
    <mergeCell ref="H9:J9"/>
    <mergeCell ref="A10:J10"/>
    <mergeCell ref="A11:J11"/>
    <mergeCell ref="A12:J12"/>
    <mergeCell ref="E59:G59"/>
    <mergeCell ref="E60:G60"/>
    <mergeCell ref="H4:J4"/>
    <mergeCell ref="H5:J5"/>
    <mergeCell ref="H6:J6"/>
    <mergeCell ref="H7:J7"/>
  </mergeCells>
  <dataValidations count="1">
    <dataValidation type="list" allowBlank="1" showInputMessage="1" showErrorMessage="1" sqref="I91" xr:uid="{51E16C1A-8C3F-46E3-B9D0-5DDE4C5C2F0B}">
      <formula1>$B$189:$B$195</formula1>
    </dataValidation>
  </dataValidations>
  <hyperlinks>
    <hyperlink ref="E43" r:id="rId1" display="        Curved back **" xr:uid="{2EB058B2-3977-49BA-867B-B9ADAFB35E6C}"/>
    <hyperlink ref="I140" r:id="rId2" display="Smiley" xr:uid="{11E99CB2-593C-4EF3-BDBB-DB4073613166}"/>
    <hyperlink ref="I139" r:id="rId3" display="Wild animals" xr:uid="{8D90C56C-99A1-43C2-95A9-C8D2AE8A5984}"/>
    <hyperlink ref="I138" r:id="rId4" display="Car rim" xr:uid="{F5764A85-A7AD-450D-B978-9C4E00EFC7CF}"/>
    <hyperlink ref="B128" r:id="rId5" display="Tippskydd" xr:uid="{6C83F6B2-AB66-48F0-8572-BE14D79E04FA}"/>
    <hyperlink ref="I120:J120" r:id="rId6" display="Push bar S3" xr:uid="{BF5BB241-C7DF-4831-B146-0349D8115680}"/>
    <hyperlink ref="I129:J129" r:id="rId7" display="            Without logo" xr:uid="{E6D479F0-E607-484F-8D3D-398C38B1BAE1}"/>
    <hyperlink ref="I128:J128" r:id="rId8" display="           With logo" xr:uid="{C8B7ADCB-C449-4580-A837-5F73B1E0A7EC}"/>
    <hyperlink ref="F129" r:id="rId9" xr:uid="{6099FB46-193C-4CB7-A379-E5D6A3D7516F}"/>
    <hyperlink ref="B129" r:id="rId10" display="Video" xr:uid="{0746CDEC-5EC4-44F1-B8A0-D6DEF0D27AC0}"/>
    <hyperlink ref="B121" r:id="rId11" display="4252060 VER2  Video" xr:uid="{F71DF624-A23C-47A0-9D9D-552DD7A9C5D9}"/>
    <hyperlink ref="I114:J114" r:id="rId12" display="Liten skärm" xr:uid="{7774914B-754E-4B89-9594-81DED9FEAA1F}"/>
    <hyperlink ref="I113:J113" r:id="rId13" display="Without fender" xr:uid="{A493EA49-9768-41B5-90C7-7F6E82E4A354}"/>
    <hyperlink ref="F114" r:id="rId14" display="Video" xr:uid="{031045C4-398B-4314-B60E-3C62C551ED76}"/>
    <hyperlink ref="E80" r:id="rId15" display="         One arm brake, left" xr:uid="{388576F1-BAB2-4B37-8DB4-E43B3619D8EC}"/>
    <hyperlink ref="H79:I79" r:id="rId16" display="              Assistant brake" xr:uid="{936CB804-E691-4C41-9846-1EE7AD5A89E2}"/>
    <hyperlink ref="H43:I43" r:id="rId17" display="           Flared 3 cm **" xr:uid="{AF521AE6-77FE-47B7-9068-1C601C00975F}"/>
    <hyperlink ref="H43" r:id="rId18" display="Annat ryggstöd" xr:uid="{79D20FB6-9E55-4F7F-B678-03404C8A1F0B}"/>
    <hyperlink ref="H42:I42" r:id="rId19" display="           Tapered 6 cm *" xr:uid="{6A8211DA-CA28-47A7-AC53-DB87C30A7DFF}"/>
    <hyperlink ref="E44" r:id="rId20" display="        Fixed backrest ***" xr:uid="{0ACC76B9-A478-455A-9665-59E2978CFE93}"/>
    <hyperlink ref="B15" r:id="rId21" display="U3" xr:uid="{F365DE68-BFA4-4199-BF38-913B035F292F}"/>
    <hyperlink ref="I106" r:id="rId22" display="Aluminium" xr:uid="{8A62E779-6E73-4237-B34E-35CD4607FA25}"/>
    <hyperlink ref="B64" r:id="rId23" display="120 mm" xr:uid="{87B41384-988E-40E3-A9F9-1F9899BF3F6F}"/>
    <hyperlink ref="E93" r:id="rId24" display="       25&quot;  Spinergy X Vita" xr:uid="{E89AF096-A1F9-459C-AD28-A40ABB941DB7}"/>
    <hyperlink ref="G89" r:id="rId25" display="Right Run" xr:uid="{5CC8D556-29F3-41D5-9ACB-2F98E099AA8D}"/>
    <hyperlink ref="E89" r:id="rId26" display="       25&quot;  Spinergy X" xr:uid="{DF78E62F-0043-428A-ABFD-309F2480A70B}"/>
    <hyperlink ref="C87" r:id="rId27" display="Marathon Plus" xr:uid="{EF57141F-0F0C-43D5-9B52-A34149FDFB2E}"/>
    <hyperlink ref="C86" r:id="rId28" display="Right Run" xr:uid="{D5A88C8D-DE25-4F0F-A6F5-6389728CF09B}"/>
    <hyperlink ref="H69:I69" r:id="rId29" display="                   Carbon footplate" xr:uid="{8B0569FB-CBD7-45BE-9816-951880D0329E}"/>
    <hyperlink ref="I120" r:id="rId30" display="Körbåge S3" xr:uid="{F95393DA-40D8-4FF1-A9BD-8C7297B48879}"/>
    <hyperlink ref="I113" r:id="rId31" display="Sidoskydd Carbon" xr:uid="{03DF658B-ECB7-41CC-81F7-5CA85878FF49}"/>
    <hyperlink ref="E106" r:id="rId32" display="     Tetragrip" xr:uid="{E0FD3271-FB1D-4B11-A691-B7911272608B}"/>
    <hyperlink ref="E104" r:id="rId33" display="       Paragrip" xr:uid="{AE2450AD-DD2E-49AF-8543-74A507DB8421}"/>
    <hyperlink ref="E86" r:id="rId34" display="       22&quot; Std" xr:uid="{F1D06F82-5504-4826-BECF-5606963C9E25}"/>
    <hyperlink ref="E79" r:id="rId35" display="         One arm brake, right" xr:uid="{2DDBFEED-AD12-412F-B6ED-041877DDEE4F}"/>
    <hyperlink ref="E75" r:id="rId36" display="      Plastplatta till fotbåge" xr:uid="{32CBED00-7907-4FD4-9F47-C4300F32EEC8}"/>
    <hyperlink ref="E69" r:id="rId37" display="       Titanium, extended, reinforced *" xr:uid="{64DC6D71-B55B-49EB-A9A6-6434E9200D7B}"/>
    <hyperlink ref="H58" r:id="rId38" display="Annan bakaxel" xr:uid="{57FC5FEA-8277-4C76-8CA2-D5435D7F5913}"/>
    <hyperlink ref="E64" r:id="rId39" display="  90 mm" xr:uid="{D6B24B13-4885-4DF2-AD16-950BA6ADC2E0}"/>
    <hyperlink ref="B145" r:id="rId40" display="Read more about Freewheel on the homepage" xr:uid="{F994ED3A-86BD-46B0-8448-A78D1186B0AC}"/>
    <hyperlink ref="B146" r:id="rId41" xr:uid="{79C74287-E1EB-4858-A47F-4433917A1AB3}"/>
    <hyperlink ref="E58" r:id="rId42" display="     Carbon +15 mm" xr:uid="{5D67C633-9C49-4A2E-85AA-3890BF05497E}"/>
    <hyperlink ref="E42" r:id="rId43" display="         Tapered *" xr:uid="{70586CE2-DA35-431F-A9CB-7553C4E82EE7}"/>
    <hyperlink ref="G128" r:id="rId44" display="Kildyna" xr:uid="{41252C74-4C0E-4D54-9A37-EE0914D5FB66}"/>
    <hyperlink ref="F128" r:id="rId45" xr:uid="{BB09AA6E-9CC8-47F2-8283-C73E9DF40EA2}"/>
    <hyperlink ref="F120" r:id="rId46" display="Fällbara S3" xr:uid="{C79874B3-F528-45B7-A15E-202998EEC9A6}"/>
    <hyperlink ref="B122" r:id="rId47" display="Höj / sänkbara S3+10cm" xr:uid="{FC674862-8F04-4D36-B66B-A04FECE4A739}"/>
    <hyperlink ref="B120" r:id="rId48" display="Höj / sänkbara S3" xr:uid="{ED027D24-BA00-4864-8105-3934FE7D0C84}"/>
    <hyperlink ref="C114" r:id="rId49" display="Video" xr:uid="{71D43496-AB65-418F-814C-281C38211D45}"/>
    <hyperlink ref="B113" r:id="rId50" display="  Sidoskydd S3" xr:uid="{89F8CD1D-7F80-47DF-A497-AAD75A890F51}"/>
    <hyperlink ref="B104" r:id="rId51" display="Titan" xr:uid="{2349CCE3-2559-4227-9650-3D6B7D875CE7}"/>
    <hyperlink ref="B86" r:id="rId52" display="24&quot; Standard" xr:uid="{4FAFD311-9414-4CC9-906D-5CF13E02BC15}"/>
    <hyperlink ref="H79" r:id="rId53" display="Annan broms" xr:uid="{641011B2-4F6B-4990-ABD9-0D96E5BC4121}"/>
    <hyperlink ref="B58" r:id="rId54" display="Carbon Standard" xr:uid="{8D72081D-170A-46FC-9461-A5C71FB686B7}"/>
    <hyperlink ref="H42" r:id="rId55" display="Annat ryggstöd" xr:uid="{5821C3FC-4E43-448E-96FF-E0EAD82E87AF}"/>
    <hyperlink ref="D160" r:id="rId56" display=" - Foot plates" xr:uid="{FE36CB23-D62A-4E3B-A870-24690029AA6F}"/>
    <hyperlink ref="B160" r:id="rId57" display="Footrest height" xr:uid="{57D2C7B9-AF2B-41FA-9583-1A522D3667A0}"/>
    <hyperlink ref="H154" r:id="rId58" display="Rear axle adjustment" xr:uid="{F6A7CB2A-83A3-4FD2-9B0A-CEA2E35EBD57}"/>
    <hyperlink ref="B154" r:id="rId59" display="Back rest angle" xr:uid="{CBFF4633-65C7-466B-A564-D2AF3238C475}"/>
    <hyperlink ref="B79" r:id="rId60" display="S3 Standard" xr:uid="{2A25ABCF-3BC1-4154-85AC-85F64DA3E597}"/>
    <hyperlink ref="F113" r:id="rId61" xr:uid="{29ED1BD2-C8FC-47F6-95B6-62284B85927F}"/>
    <hyperlink ref="B145:E145" r:id="rId62" display="Read more about Freewheel on the homepage" xr:uid="{66777777-1A42-4D12-AC64-52CB10AB94BE}"/>
    <hyperlink ref="F136" r:id="rId63" display="       Table S3" xr:uid="{140602AA-63F1-43F1-8DF5-170B48A512FC}"/>
    <hyperlink ref="F139" r:id="rId64" display="    reTyre" xr:uid="{052B5A3C-8FF6-41A5-867A-94C1242ACA4E}"/>
    <hyperlink ref="A3" location="'S3 U3 Swing'!A1" display="start page" xr:uid="{1DE4667C-2FAB-46A7-B10A-88C164914EDA}"/>
    <hyperlink ref="I1" location="'U3 models'!A194" display="Compilation" xr:uid="{6925285C-CFCF-47AB-ABE8-8B7DA272CC7E}"/>
    <hyperlink ref="B42" r:id="rId65" display="Standard" xr:uid="{F87384D1-BFE0-4E2D-A72B-E7D039B8AE3C}"/>
    <hyperlink ref="B136:C136" r:id="rId66" display="Rörskydd front (chassirör)" xr:uid="{101BED3C-A928-43C5-9DA9-922904C24127}"/>
    <hyperlink ref="B138:C138" r:id="rId67" display="Rörskydd bak (ryggstödsbåge)" xr:uid="{85606907-A4CB-4FF6-991B-8B51054E98DC}"/>
    <hyperlink ref="B140:C140" r:id="rId68" display="Crutch holder S3" xr:uid="{C321F97A-2CAC-45D4-A06A-31485A1E833A}"/>
    <hyperlink ref="B142" r:id="rId69" display="Ryggkil" xr:uid="{FE8A1A0D-DDB3-439B-B0F9-0099F3FC4B7D}"/>
    <hyperlink ref="I86" r:id="rId70" display="Enhandsdrift" xr:uid="{FCB59E2D-79D3-4174-8742-B2AD7A75CE43}"/>
    <hyperlink ref="B16" r:id="rId71" display="U3 Y-Front" xr:uid="{6812CA6E-E914-4641-BEDC-093A06A42D81}"/>
    <hyperlink ref="B17" r:id="rId72" display="U3 Y-Front Kort" xr:uid="{8A54D3B2-7A01-4311-8563-5D78218F8F63}"/>
    <hyperlink ref="B18" r:id="rId73" display="U3 Y-Front Låg" xr:uid="{63E04049-F6FD-4A4D-8CFC-441883D61FD7}"/>
    <hyperlink ref="B24:C24" r:id="rId74" display="https://www.panthera.se/images/layout/colour_anodic_black_1250.jpg" xr:uid="{1AEFD98B-3791-41A6-8A65-2B0E8ED685E8}"/>
    <hyperlink ref="B25:C25" r:id="rId75" display="https://www.panthera.se/images/layout/colour_grey_metallic_1250.jpg" xr:uid="{922D9ECC-2FE4-4DD9-8898-6BE9D193326F}"/>
    <hyperlink ref="E24" r:id="rId76" display="https://www.panthera.se/webpages/chassi_colour_all.html" xr:uid="{33A65DD7-F951-49F0-BCFE-130B115CC3F8}"/>
    <hyperlink ref="C88" r:id="rId77" display="Marathon Plus" xr:uid="{AC4B7163-2ACC-42E6-BD72-3101BEF702A9}"/>
    <hyperlink ref="C89" r:id="rId78" display="Marathon Plus" xr:uid="{9E4619E3-F301-462A-8C2C-B7E0FD3A2EFB}"/>
    <hyperlink ref="G90" r:id="rId79" display="Marathon Plus" xr:uid="{5438906F-B1C5-40AB-8D54-1E8C99DCF9D7}"/>
    <hyperlink ref="B69" r:id="rId80" display="Titanium" xr:uid="{84D8D853-8CD3-478B-80C3-9AAFFF44F6A8}"/>
    <hyperlink ref="B3" location="'U3 models'!A4" display="'U3 models'!A4" xr:uid="{1FDBF53B-EB31-4C1A-9B4E-952CA776A18D}"/>
  </hyperlinks>
  <pageMargins left="0.25" right="0.25" top="0.75" bottom="0.75" header="0.3" footer="0.3"/>
  <pageSetup paperSize="9" orientation="portrait" horizontalDpi="4294967295" verticalDpi="4294967295" r:id="rId81"/>
  <ignoredErrors>
    <ignoredError sqref="C20 C27 C45 C33 C54 C60 F74:F76 C66 C73 C82 D90 C97 C108 C38 F38 C117 E133:H133 J133 C133 J141 C125:J125 D213 C25" unlockedFormula="1"/>
    <ignoredError xmlns:x16r3="http://schemas.microsoft.com/office/spreadsheetml/2018/08/main" sqref="F33" unlockedFormula="1" x16r3:misleadingFormat="1"/>
  </ignoredErrors>
  <drawing r:id="rId82"/>
  <legacyDrawing r:id="rId83"/>
  <mc:AlternateContent xmlns:mc="http://schemas.openxmlformats.org/markup-compatibility/2006">
    <mc:Choice Requires="x14">
      <controls>
        <mc:AlternateContent xmlns:mc="http://schemas.openxmlformats.org/markup-compatibility/2006">
          <mc:Choice Requires="x14">
            <control shapeId="5289" r:id="rId84" name="Option Button 169">
              <controlPr defaultSize="0" autoFill="0" autoLine="0" autoPict="0">
                <anchor moveWithCells="1">
                  <from>
                    <xdr:col>7</xdr:col>
                    <xdr:colOff>200025</xdr:colOff>
                    <xdr:row>42</xdr:row>
                    <xdr:rowOff>171450</xdr:rowOff>
                  </from>
                  <to>
                    <xdr:col>7</xdr:col>
                    <xdr:colOff>447675</xdr:colOff>
                    <xdr:row>44</xdr:row>
                    <xdr:rowOff>9525</xdr:rowOff>
                  </to>
                </anchor>
              </controlPr>
            </control>
          </mc:Choice>
        </mc:AlternateContent>
        <mc:AlternateContent xmlns:mc="http://schemas.openxmlformats.org/markup-compatibility/2006">
          <mc:Choice Requires="x14">
            <control shapeId="5292" r:id="rId85" name="Option Button 172">
              <controlPr defaultSize="0" autoFill="0" autoLine="0" autoPict="0">
                <anchor moveWithCells="1">
                  <from>
                    <xdr:col>3</xdr:col>
                    <xdr:colOff>552450</xdr:colOff>
                    <xdr:row>29</xdr:row>
                    <xdr:rowOff>180975</xdr:rowOff>
                  </from>
                  <to>
                    <xdr:col>4</xdr:col>
                    <xdr:colOff>95250</xdr:colOff>
                    <xdr:row>31</xdr:row>
                    <xdr:rowOff>9525</xdr:rowOff>
                  </to>
                </anchor>
              </controlPr>
            </control>
          </mc:Choice>
        </mc:AlternateContent>
        <mc:AlternateContent xmlns:mc="http://schemas.openxmlformats.org/markup-compatibility/2006">
          <mc:Choice Requires="x14">
            <control shapeId="5293" r:id="rId86" name="Option Button 173">
              <controlPr defaultSize="0" autoFill="0" autoLine="0" autoPict="0">
                <anchor moveWithCells="1">
                  <from>
                    <xdr:col>4</xdr:col>
                    <xdr:colOff>542925</xdr:colOff>
                    <xdr:row>30</xdr:row>
                    <xdr:rowOff>0</xdr:rowOff>
                  </from>
                  <to>
                    <xdr:col>5</xdr:col>
                    <xdr:colOff>95250</xdr:colOff>
                    <xdr:row>31</xdr:row>
                    <xdr:rowOff>19050</xdr:rowOff>
                  </to>
                </anchor>
              </controlPr>
            </control>
          </mc:Choice>
        </mc:AlternateContent>
        <mc:AlternateContent xmlns:mc="http://schemas.openxmlformats.org/markup-compatibility/2006">
          <mc:Choice Requires="x14">
            <control shapeId="5294" r:id="rId87" name="Option Button 174">
              <controlPr defaultSize="0" autoFill="0" autoLine="0" autoPict="0">
                <anchor moveWithCells="1">
                  <from>
                    <xdr:col>6</xdr:col>
                    <xdr:colOff>561975</xdr:colOff>
                    <xdr:row>30</xdr:row>
                    <xdr:rowOff>0</xdr:rowOff>
                  </from>
                  <to>
                    <xdr:col>7</xdr:col>
                    <xdr:colOff>114300</xdr:colOff>
                    <xdr:row>31</xdr:row>
                    <xdr:rowOff>28575</xdr:rowOff>
                  </to>
                </anchor>
              </controlPr>
            </control>
          </mc:Choice>
        </mc:AlternateContent>
        <mc:AlternateContent xmlns:mc="http://schemas.openxmlformats.org/markup-compatibility/2006">
          <mc:Choice Requires="x14">
            <control shapeId="5295" r:id="rId88" name="Option Button 175">
              <controlPr defaultSize="0" autoFill="0" autoLine="0" autoPict="0">
                <anchor moveWithCells="1">
                  <from>
                    <xdr:col>3</xdr:col>
                    <xdr:colOff>609600</xdr:colOff>
                    <xdr:row>40</xdr:row>
                    <xdr:rowOff>161925</xdr:rowOff>
                  </from>
                  <to>
                    <xdr:col>4</xdr:col>
                    <xdr:colOff>200025</xdr:colOff>
                    <xdr:row>42</xdr:row>
                    <xdr:rowOff>9525</xdr:rowOff>
                  </to>
                </anchor>
              </controlPr>
            </control>
          </mc:Choice>
        </mc:AlternateContent>
        <mc:AlternateContent xmlns:mc="http://schemas.openxmlformats.org/markup-compatibility/2006">
          <mc:Choice Requires="x14">
            <control shapeId="5296" r:id="rId89" name="Option Button 176">
              <controlPr defaultSize="0" autoFill="0" autoLine="0" autoPict="0">
                <anchor moveWithCells="1">
                  <from>
                    <xdr:col>3</xdr:col>
                    <xdr:colOff>609600</xdr:colOff>
                    <xdr:row>41</xdr:row>
                    <xdr:rowOff>171450</xdr:rowOff>
                  </from>
                  <to>
                    <xdr:col>4</xdr:col>
                    <xdr:colOff>200025</xdr:colOff>
                    <xdr:row>43</xdr:row>
                    <xdr:rowOff>9525</xdr:rowOff>
                  </to>
                </anchor>
              </controlPr>
            </control>
          </mc:Choice>
        </mc:AlternateContent>
        <mc:AlternateContent xmlns:mc="http://schemas.openxmlformats.org/markup-compatibility/2006">
          <mc:Choice Requires="x14">
            <control shapeId="5297" r:id="rId90" name="Option Button 177">
              <controlPr defaultSize="0" autoFill="0" autoLine="0" autoPict="0">
                <anchor moveWithCells="1">
                  <from>
                    <xdr:col>0</xdr:col>
                    <xdr:colOff>628650</xdr:colOff>
                    <xdr:row>43</xdr:row>
                    <xdr:rowOff>171450</xdr:rowOff>
                  </from>
                  <to>
                    <xdr:col>1</xdr:col>
                    <xdr:colOff>47625</xdr:colOff>
                    <xdr:row>45</xdr:row>
                    <xdr:rowOff>9525</xdr:rowOff>
                  </to>
                </anchor>
              </controlPr>
            </control>
          </mc:Choice>
        </mc:AlternateContent>
        <mc:AlternateContent xmlns:mc="http://schemas.openxmlformats.org/markup-compatibility/2006">
          <mc:Choice Requires="x14">
            <control shapeId="5298" r:id="rId91" name="Option Button 178">
              <controlPr defaultSize="0" autoFill="0" autoLine="0" autoPict="0">
                <anchor moveWithCells="1">
                  <from>
                    <xdr:col>0</xdr:col>
                    <xdr:colOff>590550</xdr:colOff>
                    <xdr:row>23</xdr:row>
                    <xdr:rowOff>9525</xdr:rowOff>
                  </from>
                  <to>
                    <xdr:col>1</xdr:col>
                    <xdr:colOff>28575</xdr:colOff>
                    <xdr:row>24</xdr:row>
                    <xdr:rowOff>19050</xdr:rowOff>
                  </to>
                </anchor>
              </controlPr>
            </control>
          </mc:Choice>
        </mc:AlternateContent>
        <mc:AlternateContent xmlns:mc="http://schemas.openxmlformats.org/markup-compatibility/2006">
          <mc:Choice Requires="x14">
            <control shapeId="5299" r:id="rId92" name="Option Button 179">
              <controlPr defaultSize="0" autoFill="0" autoLine="0" autoPict="0">
                <anchor moveWithCells="1">
                  <from>
                    <xdr:col>0</xdr:col>
                    <xdr:colOff>590550</xdr:colOff>
                    <xdr:row>24</xdr:row>
                    <xdr:rowOff>9525</xdr:rowOff>
                  </from>
                  <to>
                    <xdr:col>1</xdr:col>
                    <xdr:colOff>28575</xdr:colOff>
                    <xdr:row>25</xdr:row>
                    <xdr:rowOff>38100</xdr:rowOff>
                  </to>
                </anchor>
              </controlPr>
            </control>
          </mc:Choice>
        </mc:AlternateContent>
        <mc:AlternateContent xmlns:mc="http://schemas.openxmlformats.org/markup-compatibility/2006">
          <mc:Choice Requires="x14">
            <control shapeId="5300" r:id="rId93" name="Option Button 180">
              <controlPr defaultSize="0" autoFill="0" autoLine="0" autoPict="0">
                <anchor moveWithCells="1">
                  <from>
                    <xdr:col>0</xdr:col>
                    <xdr:colOff>590550</xdr:colOff>
                    <xdr:row>25</xdr:row>
                    <xdr:rowOff>180975</xdr:rowOff>
                  </from>
                  <to>
                    <xdr:col>1</xdr:col>
                    <xdr:colOff>28575</xdr:colOff>
                    <xdr:row>27</xdr:row>
                    <xdr:rowOff>19050</xdr:rowOff>
                  </to>
                </anchor>
              </controlPr>
            </control>
          </mc:Choice>
        </mc:AlternateContent>
        <mc:AlternateContent xmlns:mc="http://schemas.openxmlformats.org/markup-compatibility/2006">
          <mc:Choice Requires="x14">
            <control shapeId="5301" r:id="rId94" name="Option Button 181">
              <controlPr defaultSize="0" autoFill="0" autoLine="0" autoPict="0">
                <anchor moveWithCells="1">
                  <from>
                    <xdr:col>3</xdr:col>
                    <xdr:colOff>609600</xdr:colOff>
                    <xdr:row>23</xdr:row>
                    <xdr:rowOff>0</xdr:rowOff>
                  </from>
                  <to>
                    <xdr:col>4</xdr:col>
                    <xdr:colOff>190500</xdr:colOff>
                    <xdr:row>24</xdr:row>
                    <xdr:rowOff>28575</xdr:rowOff>
                  </to>
                </anchor>
              </controlPr>
            </control>
          </mc:Choice>
        </mc:AlternateContent>
        <mc:AlternateContent xmlns:mc="http://schemas.openxmlformats.org/markup-compatibility/2006">
          <mc:Choice Requires="x14">
            <control shapeId="5302" r:id="rId95" name="Option Button 182">
              <controlPr defaultSize="0" autoFill="0" autoLine="0" autoPict="0">
                <anchor moveWithCells="1">
                  <from>
                    <xdr:col>0</xdr:col>
                    <xdr:colOff>628650</xdr:colOff>
                    <xdr:row>41</xdr:row>
                    <xdr:rowOff>9525</xdr:rowOff>
                  </from>
                  <to>
                    <xdr:col>1</xdr:col>
                    <xdr:colOff>76200</xdr:colOff>
                    <xdr:row>42</xdr:row>
                    <xdr:rowOff>28575</xdr:rowOff>
                  </to>
                </anchor>
              </controlPr>
            </control>
          </mc:Choice>
        </mc:AlternateContent>
        <mc:AlternateContent xmlns:mc="http://schemas.openxmlformats.org/markup-compatibility/2006">
          <mc:Choice Requires="x14">
            <control shapeId="5303" r:id="rId96" name="Group Box 183">
              <controlPr defaultSize="0" autoFill="0" autoPict="0">
                <anchor moveWithCells="1">
                  <from>
                    <xdr:col>0</xdr:col>
                    <xdr:colOff>485775</xdr:colOff>
                    <xdr:row>40</xdr:row>
                    <xdr:rowOff>142875</xdr:rowOff>
                  </from>
                  <to>
                    <xdr:col>10</xdr:col>
                    <xdr:colOff>9525</xdr:colOff>
                    <xdr:row>45</xdr:row>
                    <xdr:rowOff>114300</xdr:rowOff>
                  </to>
                </anchor>
              </controlPr>
            </control>
          </mc:Choice>
        </mc:AlternateContent>
        <mc:AlternateContent xmlns:mc="http://schemas.openxmlformats.org/markup-compatibility/2006">
          <mc:Choice Requires="x14">
            <control shapeId="5304" r:id="rId97" name="Group Box 184">
              <controlPr defaultSize="0" autoFill="0" autoPict="0">
                <anchor moveWithCells="1">
                  <from>
                    <xdr:col>0</xdr:col>
                    <xdr:colOff>361950</xdr:colOff>
                    <xdr:row>51</xdr:row>
                    <xdr:rowOff>76200</xdr:rowOff>
                  </from>
                  <to>
                    <xdr:col>9</xdr:col>
                    <xdr:colOff>552450</xdr:colOff>
                    <xdr:row>54</xdr:row>
                    <xdr:rowOff>123825</xdr:rowOff>
                  </to>
                </anchor>
              </controlPr>
            </control>
          </mc:Choice>
        </mc:AlternateContent>
        <mc:AlternateContent xmlns:mc="http://schemas.openxmlformats.org/markup-compatibility/2006">
          <mc:Choice Requires="x14">
            <control shapeId="5306" r:id="rId98" name="Option Button 186">
              <controlPr defaultSize="0" autoFill="0" autoLine="0" autoPict="0">
                <anchor moveWithCells="1">
                  <from>
                    <xdr:col>1</xdr:col>
                    <xdr:colOff>257175</xdr:colOff>
                    <xdr:row>51</xdr:row>
                    <xdr:rowOff>171450</xdr:rowOff>
                  </from>
                  <to>
                    <xdr:col>2</xdr:col>
                    <xdr:colOff>47625</xdr:colOff>
                    <xdr:row>53</xdr:row>
                    <xdr:rowOff>9525</xdr:rowOff>
                  </to>
                </anchor>
              </controlPr>
            </control>
          </mc:Choice>
        </mc:AlternateContent>
        <mc:AlternateContent xmlns:mc="http://schemas.openxmlformats.org/markup-compatibility/2006">
          <mc:Choice Requires="x14">
            <control shapeId="5307" r:id="rId99" name="Option Button 187">
              <controlPr defaultSize="0" autoFill="0" autoLine="0" autoPict="0">
                <anchor moveWithCells="1">
                  <from>
                    <xdr:col>2</xdr:col>
                    <xdr:colOff>419100</xdr:colOff>
                    <xdr:row>51</xdr:row>
                    <xdr:rowOff>180975</xdr:rowOff>
                  </from>
                  <to>
                    <xdr:col>3</xdr:col>
                    <xdr:colOff>0</xdr:colOff>
                    <xdr:row>53</xdr:row>
                    <xdr:rowOff>19050</xdr:rowOff>
                  </to>
                </anchor>
              </controlPr>
            </control>
          </mc:Choice>
        </mc:AlternateContent>
        <mc:AlternateContent xmlns:mc="http://schemas.openxmlformats.org/markup-compatibility/2006">
          <mc:Choice Requires="x14">
            <control shapeId="5308" r:id="rId100" name="Option Button 188">
              <controlPr defaultSize="0" autoFill="0" autoLine="0" autoPict="0">
                <anchor moveWithCells="1">
                  <from>
                    <xdr:col>3</xdr:col>
                    <xdr:colOff>447675</xdr:colOff>
                    <xdr:row>51</xdr:row>
                    <xdr:rowOff>161925</xdr:rowOff>
                  </from>
                  <to>
                    <xdr:col>4</xdr:col>
                    <xdr:colOff>28575</xdr:colOff>
                    <xdr:row>53</xdr:row>
                    <xdr:rowOff>0</xdr:rowOff>
                  </to>
                </anchor>
              </controlPr>
            </control>
          </mc:Choice>
        </mc:AlternateContent>
        <mc:AlternateContent xmlns:mc="http://schemas.openxmlformats.org/markup-compatibility/2006">
          <mc:Choice Requires="x14">
            <control shapeId="5309" r:id="rId101" name="Option Button 189">
              <controlPr defaultSize="0" autoFill="0" autoLine="0" autoPict="0">
                <anchor moveWithCells="1">
                  <from>
                    <xdr:col>4</xdr:col>
                    <xdr:colOff>428625</xdr:colOff>
                    <xdr:row>51</xdr:row>
                    <xdr:rowOff>161925</xdr:rowOff>
                  </from>
                  <to>
                    <xdr:col>5</xdr:col>
                    <xdr:colOff>9525</xdr:colOff>
                    <xdr:row>53</xdr:row>
                    <xdr:rowOff>0</xdr:rowOff>
                  </to>
                </anchor>
              </controlPr>
            </control>
          </mc:Choice>
        </mc:AlternateContent>
        <mc:AlternateContent xmlns:mc="http://schemas.openxmlformats.org/markup-compatibility/2006">
          <mc:Choice Requires="x14">
            <control shapeId="5310" r:id="rId102" name="Option Button 190">
              <controlPr defaultSize="0" autoFill="0" autoLine="0" autoPict="0">
                <anchor moveWithCells="1">
                  <from>
                    <xdr:col>5</xdr:col>
                    <xdr:colOff>428625</xdr:colOff>
                    <xdr:row>51</xdr:row>
                    <xdr:rowOff>171450</xdr:rowOff>
                  </from>
                  <to>
                    <xdr:col>6</xdr:col>
                    <xdr:colOff>9525</xdr:colOff>
                    <xdr:row>53</xdr:row>
                    <xdr:rowOff>9525</xdr:rowOff>
                  </to>
                </anchor>
              </controlPr>
            </control>
          </mc:Choice>
        </mc:AlternateContent>
        <mc:AlternateContent xmlns:mc="http://schemas.openxmlformats.org/markup-compatibility/2006">
          <mc:Choice Requires="x14">
            <control shapeId="5311" r:id="rId103" name="Option Button 191">
              <controlPr defaultSize="0" autoFill="0" autoLine="0" autoPict="0">
                <anchor moveWithCells="1">
                  <from>
                    <xdr:col>6</xdr:col>
                    <xdr:colOff>409575</xdr:colOff>
                    <xdr:row>51</xdr:row>
                    <xdr:rowOff>171450</xdr:rowOff>
                  </from>
                  <to>
                    <xdr:col>6</xdr:col>
                    <xdr:colOff>638175</xdr:colOff>
                    <xdr:row>53</xdr:row>
                    <xdr:rowOff>9525</xdr:rowOff>
                  </to>
                </anchor>
              </controlPr>
            </control>
          </mc:Choice>
        </mc:AlternateContent>
        <mc:AlternateContent xmlns:mc="http://schemas.openxmlformats.org/markup-compatibility/2006">
          <mc:Choice Requires="x14">
            <control shapeId="5312" r:id="rId104" name="Group Box 192">
              <controlPr defaultSize="0" autoFill="0" autoPict="0">
                <anchor moveWithCells="1">
                  <from>
                    <xdr:col>0</xdr:col>
                    <xdr:colOff>304800</xdr:colOff>
                    <xdr:row>56</xdr:row>
                    <xdr:rowOff>47625</xdr:rowOff>
                  </from>
                  <to>
                    <xdr:col>9</xdr:col>
                    <xdr:colOff>571500</xdr:colOff>
                    <xdr:row>61</xdr:row>
                    <xdr:rowOff>57150</xdr:rowOff>
                  </to>
                </anchor>
              </controlPr>
            </control>
          </mc:Choice>
        </mc:AlternateContent>
        <mc:AlternateContent xmlns:mc="http://schemas.openxmlformats.org/markup-compatibility/2006">
          <mc:Choice Requires="x14">
            <control shapeId="5313" r:id="rId105" name="Option Button 193">
              <controlPr defaultSize="0" autoFill="0" autoLine="0" autoPict="0">
                <anchor moveWithCells="1">
                  <from>
                    <xdr:col>0</xdr:col>
                    <xdr:colOff>628650</xdr:colOff>
                    <xdr:row>56</xdr:row>
                    <xdr:rowOff>180975</xdr:rowOff>
                  </from>
                  <to>
                    <xdr:col>1</xdr:col>
                    <xdr:colOff>85725</xdr:colOff>
                    <xdr:row>58</xdr:row>
                    <xdr:rowOff>19050</xdr:rowOff>
                  </to>
                </anchor>
              </controlPr>
            </control>
          </mc:Choice>
        </mc:AlternateContent>
        <mc:AlternateContent xmlns:mc="http://schemas.openxmlformats.org/markup-compatibility/2006">
          <mc:Choice Requires="x14">
            <control shapeId="5314" r:id="rId106" name="Option Button 194">
              <controlPr defaultSize="0" autoFill="0" autoLine="0" autoPict="0">
                <anchor moveWithCells="1">
                  <from>
                    <xdr:col>3</xdr:col>
                    <xdr:colOff>561975</xdr:colOff>
                    <xdr:row>56</xdr:row>
                    <xdr:rowOff>171450</xdr:rowOff>
                  </from>
                  <to>
                    <xdr:col>4</xdr:col>
                    <xdr:colOff>161925</xdr:colOff>
                    <xdr:row>58</xdr:row>
                    <xdr:rowOff>9525</xdr:rowOff>
                  </to>
                </anchor>
              </controlPr>
            </control>
          </mc:Choice>
        </mc:AlternateContent>
        <mc:AlternateContent xmlns:mc="http://schemas.openxmlformats.org/markup-compatibility/2006">
          <mc:Choice Requires="x14">
            <control shapeId="5315" r:id="rId107" name="Option Button 195">
              <controlPr defaultSize="0" autoFill="0" autoLine="0" autoPict="0">
                <anchor moveWithCells="1">
                  <from>
                    <xdr:col>7</xdr:col>
                    <xdr:colOff>247650</xdr:colOff>
                    <xdr:row>57</xdr:row>
                    <xdr:rowOff>0</xdr:rowOff>
                  </from>
                  <to>
                    <xdr:col>7</xdr:col>
                    <xdr:colOff>495300</xdr:colOff>
                    <xdr:row>58</xdr:row>
                    <xdr:rowOff>28575</xdr:rowOff>
                  </to>
                </anchor>
              </controlPr>
            </control>
          </mc:Choice>
        </mc:AlternateContent>
        <mc:AlternateContent xmlns:mc="http://schemas.openxmlformats.org/markup-compatibility/2006">
          <mc:Choice Requires="x14">
            <control shapeId="5316" r:id="rId108" name="Group Box 196">
              <controlPr defaultSize="0" autoFill="0" autoPict="0">
                <anchor moveWithCells="1">
                  <from>
                    <xdr:col>0</xdr:col>
                    <xdr:colOff>323850</xdr:colOff>
                    <xdr:row>68</xdr:row>
                    <xdr:rowOff>0</xdr:rowOff>
                  </from>
                  <to>
                    <xdr:col>10</xdr:col>
                    <xdr:colOff>28575</xdr:colOff>
                    <xdr:row>76</xdr:row>
                    <xdr:rowOff>152400</xdr:rowOff>
                  </to>
                </anchor>
              </controlPr>
            </control>
          </mc:Choice>
        </mc:AlternateContent>
        <mc:AlternateContent xmlns:mc="http://schemas.openxmlformats.org/markup-compatibility/2006">
          <mc:Choice Requires="x14">
            <control shapeId="5317" r:id="rId109" name="Option Button 19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319" r:id="rId110" name="Option Button 199">
              <controlPr defaultSize="0" autoFill="0" autoLine="0" autoPict="0">
                <anchor moveWithCells="1">
                  <from>
                    <xdr:col>3</xdr:col>
                    <xdr:colOff>628650</xdr:colOff>
                    <xdr:row>68</xdr:row>
                    <xdr:rowOff>9525</xdr:rowOff>
                  </from>
                  <to>
                    <xdr:col>4</xdr:col>
                    <xdr:colOff>209550</xdr:colOff>
                    <xdr:row>69</xdr:row>
                    <xdr:rowOff>38100</xdr:rowOff>
                  </to>
                </anchor>
              </controlPr>
            </control>
          </mc:Choice>
        </mc:AlternateContent>
        <mc:AlternateContent xmlns:mc="http://schemas.openxmlformats.org/markup-compatibility/2006">
          <mc:Choice Requires="x14">
            <control shapeId="5320" r:id="rId111" name="Option Button 20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321" r:id="rId112" name="Option Button 20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322" r:id="rId113" name="Option Button 202">
              <controlPr defaultSize="0" autoFill="0" autoLine="0" autoPict="0">
                <anchor moveWithCells="1">
                  <from>
                    <xdr:col>7</xdr:col>
                    <xdr:colOff>285750</xdr:colOff>
                    <xdr:row>68</xdr:row>
                    <xdr:rowOff>0</xdr:rowOff>
                  </from>
                  <to>
                    <xdr:col>7</xdr:col>
                    <xdr:colOff>514350</xdr:colOff>
                    <xdr:row>69</xdr:row>
                    <xdr:rowOff>47625</xdr:rowOff>
                  </to>
                </anchor>
              </controlPr>
            </control>
          </mc:Choice>
        </mc:AlternateContent>
        <mc:AlternateContent xmlns:mc="http://schemas.openxmlformats.org/markup-compatibility/2006">
          <mc:Choice Requires="x14">
            <control shapeId="5323" r:id="rId114" name="Option Button 203">
              <controlPr defaultSize="0" autoFill="0" autoLine="0" autoPict="0">
                <anchor moveWithCells="1">
                  <from>
                    <xdr:col>0</xdr:col>
                    <xdr:colOff>628650</xdr:colOff>
                    <xdr:row>58</xdr:row>
                    <xdr:rowOff>152400</xdr:rowOff>
                  </from>
                  <to>
                    <xdr:col>1</xdr:col>
                    <xdr:colOff>85725</xdr:colOff>
                    <xdr:row>59</xdr:row>
                    <xdr:rowOff>180975</xdr:rowOff>
                  </to>
                </anchor>
              </controlPr>
            </control>
          </mc:Choice>
        </mc:AlternateContent>
        <mc:AlternateContent xmlns:mc="http://schemas.openxmlformats.org/markup-compatibility/2006">
          <mc:Choice Requires="x14">
            <control shapeId="5325" r:id="rId115" name="Check Box 205">
              <controlPr defaultSize="0" autoFill="0" autoLine="0" autoPict="0">
                <anchor moveWithCells="1">
                  <from>
                    <xdr:col>3</xdr:col>
                    <xdr:colOff>647700</xdr:colOff>
                    <xdr:row>73</xdr:row>
                    <xdr:rowOff>152400</xdr:rowOff>
                  </from>
                  <to>
                    <xdr:col>4</xdr:col>
                    <xdr:colOff>219075</xdr:colOff>
                    <xdr:row>74</xdr:row>
                    <xdr:rowOff>190500</xdr:rowOff>
                  </to>
                </anchor>
              </controlPr>
            </control>
          </mc:Choice>
        </mc:AlternateContent>
        <mc:AlternateContent xmlns:mc="http://schemas.openxmlformats.org/markup-compatibility/2006">
          <mc:Choice Requires="x14">
            <control shapeId="5326" r:id="rId116" name="Group Box 206">
              <controlPr defaultSize="0" autoFill="0" autoPict="0">
                <anchor moveWithCells="1">
                  <from>
                    <xdr:col>0</xdr:col>
                    <xdr:colOff>314325</xdr:colOff>
                    <xdr:row>78</xdr:row>
                    <xdr:rowOff>0</xdr:rowOff>
                  </from>
                  <to>
                    <xdr:col>10</xdr:col>
                    <xdr:colOff>104775</xdr:colOff>
                    <xdr:row>83</xdr:row>
                    <xdr:rowOff>161925</xdr:rowOff>
                  </to>
                </anchor>
              </controlPr>
            </control>
          </mc:Choice>
        </mc:AlternateContent>
        <mc:AlternateContent xmlns:mc="http://schemas.openxmlformats.org/markup-compatibility/2006">
          <mc:Choice Requires="x14">
            <control shapeId="5327" r:id="rId117" name="Option Button 207">
              <controlPr defaultSize="0" autoFill="0" autoLine="0" autoPict="0">
                <anchor moveWithCells="1">
                  <from>
                    <xdr:col>4</xdr:col>
                    <xdr:colOff>0</xdr:colOff>
                    <xdr:row>78</xdr:row>
                    <xdr:rowOff>0</xdr:rowOff>
                  </from>
                  <to>
                    <xdr:col>4</xdr:col>
                    <xdr:colOff>219075</xdr:colOff>
                    <xdr:row>79</xdr:row>
                    <xdr:rowOff>57150</xdr:rowOff>
                  </to>
                </anchor>
              </controlPr>
            </control>
          </mc:Choice>
        </mc:AlternateContent>
        <mc:AlternateContent xmlns:mc="http://schemas.openxmlformats.org/markup-compatibility/2006">
          <mc:Choice Requires="x14">
            <control shapeId="5328" r:id="rId118" name="Option Button 208">
              <controlPr defaultSize="0" autoFill="0" autoLine="0" autoPict="0">
                <anchor moveWithCells="1">
                  <from>
                    <xdr:col>0</xdr:col>
                    <xdr:colOff>628650</xdr:colOff>
                    <xdr:row>80</xdr:row>
                    <xdr:rowOff>171450</xdr:rowOff>
                  </from>
                  <to>
                    <xdr:col>1</xdr:col>
                    <xdr:colOff>57150</xdr:colOff>
                    <xdr:row>82</xdr:row>
                    <xdr:rowOff>19050</xdr:rowOff>
                  </to>
                </anchor>
              </controlPr>
            </control>
          </mc:Choice>
        </mc:AlternateContent>
        <mc:AlternateContent xmlns:mc="http://schemas.openxmlformats.org/markup-compatibility/2006">
          <mc:Choice Requires="x14">
            <control shapeId="5329" r:id="rId119" name="Option Button 209">
              <controlPr defaultSize="0" autoFill="0" autoLine="0" autoPict="0">
                <anchor moveWithCells="1">
                  <from>
                    <xdr:col>7</xdr:col>
                    <xdr:colOff>304800</xdr:colOff>
                    <xdr:row>78</xdr:row>
                    <xdr:rowOff>0</xdr:rowOff>
                  </from>
                  <to>
                    <xdr:col>7</xdr:col>
                    <xdr:colOff>523875</xdr:colOff>
                    <xdr:row>79</xdr:row>
                    <xdr:rowOff>66675</xdr:rowOff>
                  </to>
                </anchor>
              </controlPr>
            </control>
          </mc:Choice>
        </mc:AlternateContent>
        <mc:AlternateContent xmlns:mc="http://schemas.openxmlformats.org/markup-compatibility/2006">
          <mc:Choice Requires="x14">
            <control shapeId="5330" r:id="rId120" name="Option Button 210">
              <controlPr defaultSize="0" autoFill="0" autoLine="0" autoPict="0">
                <anchor moveWithCells="1">
                  <from>
                    <xdr:col>3</xdr:col>
                    <xdr:colOff>628650</xdr:colOff>
                    <xdr:row>85</xdr:row>
                    <xdr:rowOff>171450</xdr:rowOff>
                  </from>
                  <to>
                    <xdr:col>4</xdr:col>
                    <xdr:colOff>180975</xdr:colOff>
                    <xdr:row>87</xdr:row>
                    <xdr:rowOff>9525</xdr:rowOff>
                  </to>
                </anchor>
              </controlPr>
            </control>
          </mc:Choice>
        </mc:AlternateContent>
        <mc:AlternateContent xmlns:mc="http://schemas.openxmlformats.org/markup-compatibility/2006">
          <mc:Choice Requires="x14">
            <control shapeId="5331" r:id="rId121" name="Option Button 211">
              <controlPr defaultSize="0" autoFill="0" autoLine="0" autoPict="0">
                <anchor moveWithCells="1">
                  <from>
                    <xdr:col>7</xdr:col>
                    <xdr:colOff>342900</xdr:colOff>
                    <xdr:row>85</xdr:row>
                    <xdr:rowOff>9525</xdr:rowOff>
                  </from>
                  <to>
                    <xdr:col>7</xdr:col>
                    <xdr:colOff>542925</xdr:colOff>
                    <xdr:row>86</xdr:row>
                    <xdr:rowOff>38100</xdr:rowOff>
                  </to>
                </anchor>
              </controlPr>
            </control>
          </mc:Choice>
        </mc:AlternateContent>
        <mc:AlternateContent xmlns:mc="http://schemas.openxmlformats.org/markup-compatibility/2006">
          <mc:Choice Requires="x14">
            <control shapeId="5332" r:id="rId122" name="Option Button 212">
              <controlPr defaultSize="0" autoFill="0" autoLine="0" autoPict="0">
                <anchor moveWithCells="1">
                  <from>
                    <xdr:col>3</xdr:col>
                    <xdr:colOff>628650</xdr:colOff>
                    <xdr:row>85</xdr:row>
                    <xdr:rowOff>0</xdr:rowOff>
                  </from>
                  <to>
                    <xdr:col>4</xdr:col>
                    <xdr:colOff>180975</xdr:colOff>
                    <xdr:row>86</xdr:row>
                    <xdr:rowOff>19050</xdr:rowOff>
                  </to>
                </anchor>
              </controlPr>
            </control>
          </mc:Choice>
        </mc:AlternateContent>
        <mc:AlternateContent xmlns:mc="http://schemas.openxmlformats.org/markup-compatibility/2006">
          <mc:Choice Requires="x14">
            <control shapeId="5333" r:id="rId123" name="Option Button 21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334" r:id="rId124" name="Group Box 214">
              <controlPr defaultSize="0" autoFill="0" autoPict="0">
                <anchor moveWithCells="1">
                  <from>
                    <xdr:col>0</xdr:col>
                    <xdr:colOff>266700</xdr:colOff>
                    <xdr:row>111</xdr:row>
                    <xdr:rowOff>95250</xdr:rowOff>
                  </from>
                  <to>
                    <xdr:col>10</xdr:col>
                    <xdr:colOff>95250</xdr:colOff>
                    <xdr:row>117</xdr:row>
                    <xdr:rowOff>104775</xdr:rowOff>
                  </to>
                </anchor>
              </controlPr>
            </control>
          </mc:Choice>
        </mc:AlternateContent>
        <mc:AlternateContent xmlns:mc="http://schemas.openxmlformats.org/markup-compatibility/2006">
          <mc:Choice Requires="x14">
            <control shapeId="5335" r:id="rId125" name="Option Button 21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336" r:id="rId126" name="Option Button 216">
              <controlPr defaultSize="0" autoFill="0" autoLine="0" autoPict="0">
                <anchor moveWithCells="1">
                  <from>
                    <xdr:col>4</xdr:col>
                    <xdr:colOff>371475</xdr:colOff>
                    <xdr:row>111</xdr:row>
                    <xdr:rowOff>200025</xdr:rowOff>
                  </from>
                  <to>
                    <xdr:col>4</xdr:col>
                    <xdr:colOff>600075</xdr:colOff>
                    <xdr:row>113</xdr:row>
                    <xdr:rowOff>38100</xdr:rowOff>
                  </to>
                </anchor>
              </controlPr>
            </control>
          </mc:Choice>
        </mc:AlternateContent>
        <mc:AlternateContent xmlns:mc="http://schemas.openxmlformats.org/markup-compatibility/2006">
          <mc:Choice Requires="x14">
            <control shapeId="5337" r:id="rId127" name="Option Button 217">
              <controlPr defaultSize="0" autoFill="0" autoLine="0" autoPict="0">
                <anchor moveWithCells="1">
                  <from>
                    <xdr:col>8</xdr:col>
                    <xdr:colOff>28575</xdr:colOff>
                    <xdr:row>111</xdr:row>
                    <xdr:rowOff>190500</xdr:rowOff>
                  </from>
                  <to>
                    <xdr:col>8</xdr:col>
                    <xdr:colOff>257175</xdr:colOff>
                    <xdr:row>113</xdr:row>
                    <xdr:rowOff>28575</xdr:rowOff>
                  </to>
                </anchor>
              </controlPr>
            </control>
          </mc:Choice>
        </mc:AlternateContent>
        <mc:AlternateContent xmlns:mc="http://schemas.openxmlformats.org/markup-compatibility/2006">
          <mc:Choice Requires="x14">
            <control shapeId="5338" r:id="rId128" name="Option Button 21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339" r:id="rId129" name="Group Box 219">
              <controlPr defaultSize="0" autoFill="0" autoPict="0">
                <anchor moveWithCells="1">
                  <from>
                    <xdr:col>0</xdr:col>
                    <xdr:colOff>209550</xdr:colOff>
                    <xdr:row>118</xdr:row>
                    <xdr:rowOff>9525</xdr:rowOff>
                  </from>
                  <to>
                    <xdr:col>10</xdr:col>
                    <xdr:colOff>123825</xdr:colOff>
                    <xdr:row>125</xdr:row>
                    <xdr:rowOff>133350</xdr:rowOff>
                  </to>
                </anchor>
              </controlPr>
            </control>
          </mc:Choice>
        </mc:AlternateContent>
        <mc:AlternateContent xmlns:mc="http://schemas.openxmlformats.org/markup-compatibility/2006">
          <mc:Choice Requires="x14">
            <control shapeId="5340" r:id="rId130" name="Option Button 220">
              <controlPr defaultSize="0" autoFill="0" autoLine="0" autoPict="0">
                <anchor moveWithCells="1">
                  <from>
                    <xdr:col>0</xdr:col>
                    <xdr:colOff>628650</xdr:colOff>
                    <xdr:row>118</xdr:row>
                    <xdr:rowOff>161925</xdr:rowOff>
                  </from>
                  <to>
                    <xdr:col>1</xdr:col>
                    <xdr:colOff>38100</xdr:colOff>
                    <xdr:row>119</xdr:row>
                    <xdr:rowOff>180975</xdr:rowOff>
                  </to>
                </anchor>
              </controlPr>
            </control>
          </mc:Choice>
        </mc:AlternateContent>
        <mc:AlternateContent xmlns:mc="http://schemas.openxmlformats.org/markup-compatibility/2006">
          <mc:Choice Requires="x14">
            <control shapeId="5341" r:id="rId131" name="Option Button 221">
              <controlPr defaultSize="0" autoFill="0" autoLine="0" autoPict="0">
                <anchor moveWithCells="1">
                  <from>
                    <xdr:col>0</xdr:col>
                    <xdr:colOff>628650</xdr:colOff>
                    <xdr:row>120</xdr:row>
                    <xdr:rowOff>161925</xdr:rowOff>
                  </from>
                  <to>
                    <xdr:col>1</xdr:col>
                    <xdr:colOff>38100</xdr:colOff>
                    <xdr:row>122</xdr:row>
                    <xdr:rowOff>9525</xdr:rowOff>
                  </to>
                </anchor>
              </controlPr>
            </control>
          </mc:Choice>
        </mc:AlternateContent>
        <mc:AlternateContent xmlns:mc="http://schemas.openxmlformats.org/markup-compatibility/2006">
          <mc:Choice Requires="x14">
            <control shapeId="5342" r:id="rId132" name="Option Button 222">
              <controlPr defaultSize="0" autoFill="0" autoLine="0" autoPict="0">
                <anchor moveWithCells="1">
                  <from>
                    <xdr:col>0</xdr:col>
                    <xdr:colOff>628650</xdr:colOff>
                    <xdr:row>124</xdr:row>
                    <xdr:rowOff>0</xdr:rowOff>
                  </from>
                  <to>
                    <xdr:col>1</xdr:col>
                    <xdr:colOff>38100</xdr:colOff>
                    <xdr:row>125</xdr:row>
                    <xdr:rowOff>28575</xdr:rowOff>
                  </to>
                </anchor>
              </controlPr>
            </control>
          </mc:Choice>
        </mc:AlternateContent>
        <mc:AlternateContent xmlns:mc="http://schemas.openxmlformats.org/markup-compatibility/2006">
          <mc:Choice Requires="x14">
            <control shapeId="5343" r:id="rId133" name="Option Button 223">
              <controlPr defaultSize="0" autoFill="0" autoLine="0" autoPict="0">
                <anchor moveWithCells="1">
                  <from>
                    <xdr:col>4</xdr:col>
                    <xdr:colOff>381000</xdr:colOff>
                    <xdr:row>119</xdr:row>
                    <xdr:rowOff>28575</xdr:rowOff>
                  </from>
                  <to>
                    <xdr:col>4</xdr:col>
                    <xdr:colOff>590550</xdr:colOff>
                    <xdr:row>120</xdr:row>
                    <xdr:rowOff>57150</xdr:rowOff>
                  </to>
                </anchor>
              </controlPr>
            </control>
          </mc:Choice>
        </mc:AlternateContent>
        <mc:AlternateContent xmlns:mc="http://schemas.openxmlformats.org/markup-compatibility/2006">
          <mc:Choice Requires="x14">
            <control shapeId="5344" r:id="rId134" name="Option Button 224">
              <controlPr defaultSize="0" autoFill="0" autoLine="0" autoPict="0">
                <anchor moveWithCells="1">
                  <from>
                    <xdr:col>8</xdr:col>
                    <xdr:colOff>66675</xdr:colOff>
                    <xdr:row>119</xdr:row>
                    <xdr:rowOff>9525</xdr:rowOff>
                  </from>
                  <to>
                    <xdr:col>8</xdr:col>
                    <xdr:colOff>276225</xdr:colOff>
                    <xdr:row>120</xdr:row>
                    <xdr:rowOff>38100</xdr:rowOff>
                  </to>
                </anchor>
              </controlPr>
            </control>
          </mc:Choice>
        </mc:AlternateContent>
        <mc:AlternateContent xmlns:mc="http://schemas.openxmlformats.org/markup-compatibility/2006">
          <mc:Choice Requires="x14">
            <control shapeId="5345" r:id="rId135" name="Group Box 225">
              <controlPr defaultSize="0" autoFill="0" autoPict="0">
                <anchor moveWithCells="1">
                  <from>
                    <xdr:col>0</xdr:col>
                    <xdr:colOff>352425</xdr:colOff>
                    <xdr:row>126</xdr:row>
                    <xdr:rowOff>152400</xdr:rowOff>
                  </from>
                  <to>
                    <xdr:col>3</xdr:col>
                    <xdr:colOff>400050</xdr:colOff>
                    <xdr:row>134</xdr:row>
                    <xdr:rowOff>38100</xdr:rowOff>
                  </to>
                </anchor>
              </controlPr>
            </control>
          </mc:Choice>
        </mc:AlternateContent>
        <mc:AlternateContent xmlns:mc="http://schemas.openxmlformats.org/markup-compatibility/2006">
          <mc:Choice Requires="x14">
            <control shapeId="5346" r:id="rId136" name="Check Box 226">
              <controlPr defaultSize="0" autoFill="0" autoLine="0" autoPict="0">
                <anchor moveWithCells="1">
                  <from>
                    <xdr:col>0</xdr:col>
                    <xdr:colOff>600075</xdr:colOff>
                    <xdr:row>127</xdr:row>
                    <xdr:rowOff>9525</xdr:rowOff>
                  </from>
                  <to>
                    <xdr:col>1</xdr:col>
                    <xdr:colOff>9525</xdr:colOff>
                    <xdr:row>128</xdr:row>
                    <xdr:rowOff>28575</xdr:rowOff>
                  </to>
                </anchor>
              </controlPr>
            </control>
          </mc:Choice>
        </mc:AlternateContent>
        <mc:AlternateContent xmlns:mc="http://schemas.openxmlformats.org/markup-compatibility/2006">
          <mc:Choice Requires="x14">
            <control shapeId="5347" r:id="rId137" name="Group Box 227">
              <controlPr defaultSize="0" autoFill="0" autoPict="0">
                <anchor moveWithCells="1">
                  <from>
                    <xdr:col>4</xdr:col>
                    <xdr:colOff>447675</xdr:colOff>
                    <xdr:row>126</xdr:row>
                    <xdr:rowOff>133350</xdr:rowOff>
                  </from>
                  <to>
                    <xdr:col>5</xdr:col>
                    <xdr:colOff>504825</xdr:colOff>
                    <xdr:row>133</xdr:row>
                    <xdr:rowOff>152400</xdr:rowOff>
                  </to>
                </anchor>
              </controlPr>
            </control>
          </mc:Choice>
        </mc:AlternateContent>
        <mc:AlternateContent xmlns:mc="http://schemas.openxmlformats.org/markup-compatibility/2006">
          <mc:Choice Requires="x14">
            <control shapeId="5348" r:id="rId138" name="Group Box 228">
              <controlPr defaultSize="0" autoFill="0" autoPict="0">
                <anchor moveWithCells="1">
                  <from>
                    <xdr:col>6</xdr:col>
                    <xdr:colOff>95250</xdr:colOff>
                    <xdr:row>127</xdr:row>
                    <xdr:rowOff>0</xdr:rowOff>
                  </from>
                  <to>
                    <xdr:col>7</xdr:col>
                    <xdr:colOff>209550</xdr:colOff>
                    <xdr:row>134</xdr:row>
                    <xdr:rowOff>9525</xdr:rowOff>
                  </to>
                </anchor>
              </controlPr>
            </control>
          </mc:Choice>
        </mc:AlternateContent>
        <mc:AlternateContent xmlns:mc="http://schemas.openxmlformats.org/markup-compatibility/2006">
          <mc:Choice Requires="x14">
            <control shapeId="5349" r:id="rId139" name="Group Box 229">
              <controlPr defaultSize="0" autoFill="0" autoPict="0">
                <anchor moveWithCells="1">
                  <from>
                    <xdr:col>7</xdr:col>
                    <xdr:colOff>381000</xdr:colOff>
                    <xdr:row>126</xdr:row>
                    <xdr:rowOff>152400</xdr:rowOff>
                  </from>
                  <to>
                    <xdr:col>10</xdr:col>
                    <xdr:colOff>85725</xdr:colOff>
                    <xdr:row>133</xdr:row>
                    <xdr:rowOff>28575</xdr:rowOff>
                  </to>
                </anchor>
              </controlPr>
            </control>
          </mc:Choice>
        </mc:AlternateContent>
        <mc:AlternateContent xmlns:mc="http://schemas.openxmlformats.org/markup-compatibility/2006">
          <mc:Choice Requires="x14">
            <control shapeId="5350" r:id="rId140" name="Option Button 230">
              <controlPr defaultSize="0" autoFill="0" autoLine="0" autoPict="0">
                <anchor moveWithCells="1">
                  <from>
                    <xdr:col>8</xdr:col>
                    <xdr:colOff>66675</xdr:colOff>
                    <xdr:row>127</xdr:row>
                    <xdr:rowOff>180975</xdr:rowOff>
                  </from>
                  <to>
                    <xdr:col>8</xdr:col>
                    <xdr:colOff>266700</xdr:colOff>
                    <xdr:row>129</xdr:row>
                    <xdr:rowOff>19050</xdr:rowOff>
                  </to>
                </anchor>
              </controlPr>
            </control>
          </mc:Choice>
        </mc:AlternateContent>
        <mc:AlternateContent xmlns:mc="http://schemas.openxmlformats.org/markup-compatibility/2006">
          <mc:Choice Requires="x14">
            <control shapeId="5351" r:id="rId141" name="Option Button 231">
              <controlPr defaultSize="0" autoFill="0" autoLine="0" autoPict="0">
                <anchor moveWithCells="1">
                  <from>
                    <xdr:col>8</xdr:col>
                    <xdr:colOff>76200</xdr:colOff>
                    <xdr:row>128</xdr:row>
                    <xdr:rowOff>171450</xdr:rowOff>
                  </from>
                  <to>
                    <xdr:col>8</xdr:col>
                    <xdr:colOff>276225</xdr:colOff>
                    <xdr:row>130</xdr:row>
                    <xdr:rowOff>19050</xdr:rowOff>
                  </to>
                </anchor>
              </controlPr>
            </control>
          </mc:Choice>
        </mc:AlternateContent>
        <mc:AlternateContent xmlns:mc="http://schemas.openxmlformats.org/markup-compatibility/2006">
          <mc:Choice Requires="x14">
            <control shapeId="5352" r:id="rId142" name="Check Box 232">
              <controlPr defaultSize="0" autoFill="0" autoLine="0" autoPict="0">
                <anchor moveWithCells="1">
                  <from>
                    <xdr:col>0</xdr:col>
                    <xdr:colOff>609600</xdr:colOff>
                    <xdr:row>136</xdr:row>
                    <xdr:rowOff>161925</xdr:rowOff>
                  </from>
                  <to>
                    <xdr:col>1</xdr:col>
                    <xdr:colOff>19050</xdr:colOff>
                    <xdr:row>138</xdr:row>
                    <xdr:rowOff>9525</xdr:rowOff>
                  </to>
                </anchor>
              </controlPr>
            </control>
          </mc:Choice>
        </mc:AlternateContent>
        <mc:AlternateContent xmlns:mc="http://schemas.openxmlformats.org/markup-compatibility/2006">
          <mc:Choice Requires="x14">
            <control shapeId="5353" r:id="rId143" name="Check Box 233">
              <controlPr defaultSize="0" autoFill="0" autoLine="0" autoPict="0">
                <anchor moveWithCells="1">
                  <from>
                    <xdr:col>0</xdr:col>
                    <xdr:colOff>609600</xdr:colOff>
                    <xdr:row>138</xdr:row>
                    <xdr:rowOff>190500</xdr:rowOff>
                  </from>
                  <to>
                    <xdr:col>1</xdr:col>
                    <xdr:colOff>28575</xdr:colOff>
                    <xdr:row>140</xdr:row>
                    <xdr:rowOff>19050</xdr:rowOff>
                  </to>
                </anchor>
              </controlPr>
            </control>
          </mc:Choice>
        </mc:AlternateContent>
        <mc:AlternateContent xmlns:mc="http://schemas.openxmlformats.org/markup-compatibility/2006">
          <mc:Choice Requires="x14">
            <control shapeId="5354" r:id="rId144" name="Group Box 234">
              <controlPr defaultSize="0" autoFill="0" autoPict="0">
                <anchor moveWithCells="1">
                  <from>
                    <xdr:col>0</xdr:col>
                    <xdr:colOff>304800</xdr:colOff>
                    <xdr:row>102</xdr:row>
                    <xdr:rowOff>66675</xdr:rowOff>
                  </from>
                  <to>
                    <xdr:col>10</xdr:col>
                    <xdr:colOff>504825</xdr:colOff>
                    <xdr:row>108</xdr:row>
                    <xdr:rowOff>114300</xdr:rowOff>
                  </to>
                </anchor>
              </controlPr>
            </control>
          </mc:Choice>
        </mc:AlternateContent>
        <mc:AlternateContent xmlns:mc="http://schemas.openxmlformats.org/markup-compatibility/2006">
          <mc:Choice Requires="x14">
            <control shapeId="2" r:id="rId145" name="Option Button 235">
              <controlPr defaultSize="0" autoFill="0" autoLine="0" autoPict="0">
                <anchor moveWithCells="1">
                  <from>
                    <xdr:col>0</xdr:col>
                    <xdr:colOff>628650</xdr:colOff>
                    <xdr:row>103</xdr:row>
                    <xdr:rowOff>9525</xdr:rowOff>
                  </from>
                  <to>
                    <xdr:col>1</xdr:col>
                    <xdr:colOff>28575</xdr:colOff>
                    <xdr:row>104</xdr:row>
                    <xdr:rowOff>38100</xdr:rowOff>
                  </to>
                </anchor>
              </controlPr>
            </control>
          </mc:Choice>
        </mc:AlternateContent>
        <mc:AlternateContent xmlns:mc="http://schemas.openxmlformats.org/markup-compatibility/2006">
          <mc:Choice Requires="x14">
            <control shapeId="3" r:id="rId146" name="Option Button 236">
              <controlPr defaultSize="0" autoFill="0" autoLine="0" autoPict="0">
                <anchor moveWithCells="1">
                  <from>
                    <xdr:col>3</xdr:col>
                    <xdr:colOff>628650</xdr:colOff>
                    <xdr:row>103</xdr:row>
                    <xdr:rowOff>0</xdr:rowOff>
                  </from>
                  <to>
                    <xdr:col>4</xdr:col>
                    <xdr:colOff>180975</xdr:colOff>
                    <xdr:row>104</xdr:row>
                    <xdr:rowOff>28575</xdr:rowOff>
                  </to>
                </anchor>
              </controlPr>
            </control>
          </mc:Choice>
        </mc:AlternateContent>
        <mc:AlternateContent xmlns:mc="http://schemas.openxmlformats.org/markup-compatibility/2006">
          <mc:Choice Requires="x14">
            <control shapeId="4" r:id="rId147" name="Option Button 237">
              <controlPr defaultSize="0" autoFill="0" autoLine="0" autoPict="0">
                <anchor moveWithCells="1">
                  <from>
                    <xdr:col>3</xdr:col>
                    <xdr:colOff>638175</xdr:colOff>
                    <xdr:row>104</xdr:row>
                    <xdr:rowOff>171450</xdr:rowOff>
                  </from>
                  <to>
                    <xdr:col>4</xdr:col>
                    <xdr:colOff>190500</xdr:colOff>
                    <xdr:row>106</xdr:row>
                    <xdr:rowOff>9525</xdr:rowOff>
                  </to>
                </anchor>
              </controlPr>
            </control>
          </mc:Choice>
        </mc:AlternateContent>
        <mc:AlternateContent xmlns:mc="http://schemas.openxmlformats.org/markup-compatibility/2006">
          <mc:Choice Requires="x14">
            <control shapeId="5" r:id="rId148" name="Option Button 238">
              <controlPr defaultSize="0" autoFill="0" autoLine="0" autoPict="0">
                <anchor moveWithCells="1">
                  <from>
                    <xdr:col>7</xdr:col>
                    <xdr:colOff>381000</xdr:colOff>
                    <xdr:row>103</xdr:row>
                    <xdr:rowOff>0</xdr:rowOff>
                  </from>
                  <to>
                    <xdr:col>7</xdr:col>
                    <xdr:colOff>581025</xdr:colOff>
                    <xdr:row>104</xdr:row>
                    <xdr:rowOff>28575</xdr:rowOff>
                  </to>
                </anchor>
              </controlPr>
            </control>
          </mc:Choice>
        </mc:AlternateContent>
        <mc:AlternateContent xmlns:mc="http://schemas.openxmlformats.org/markup-compatibility/2006">
          <mc:Choice Requires="x14">
            <control shapeId="6" r:id="rId149" name="Option Button 239">
              <controlPr defaultSize="0" autoFill="0" autoLine="0" autoPict="0">
                <anchor moveWithCells="1">
                  <from>
                    <xdr:col>7</xdr:col>
                    <xdr:colOff>390525</xdr:colOff>
                    <xdr:row>104</xdr:row>
                    <xdr:rowOff>161925</xdr:rowOff>
                  </from>
                  <to>
                    <xdr:col>7</xdr:col>
                    <xdr:colOff>590550</xdr:colOff>
                    <xdr:row>106</xdr:row>
                    <xdr:rowOff>0</xdr:rowOff>
                  </to>
                </anchor>
              </controlPr>
            </control>
          </mc:Choice>
        </mc:AlternateContent>
        <mc:AlternateContent xmlns:mc="http://schemas.openxmlformats.org/markup-compatibility/2006">
          <mc:Choice Requires="x14">
            <control shapeId="7" r:id="rId150" name="Option Button 240">
              <controlPr defaultSize="0" autoFill="0" autoLine="0" autoPict="0">
                <anchor moveWithCells="1">
                  <from>
                    <xdr:col>0</xdr:col>
                    <xdr:colOff>628650</xdr:colOff>
                    <xdr:row>106</xdr:row>
                    <xdr:rowOff>171450</xdr:rowOff>
                  </from>
                  <to>
                    <xdr:col>1</xdr:col>
                    <xdr:colOff>38100</xdr:colOff>
                    <xdr:row>108</xdr:row>
                    <xdr:rowOff>9525</xdr:rowOff>
                  </to>
                </anchor>
              </controlPr>
            </control>
          </mc:Choice>
        </mc:AlternateContent>
        <mc:AlternateContent xmlns:mc="http://schemas.openxmlformats.org/markup-compatibility/2006">
          <mc:Choice Requires="x14">
            <control shapeId="8" r:id="rId151" name="Check Box 241">
              <controlPr defaultSize="0" autoFill="0" autoLine="0" autoPict="0">
                <anchor moveWithCells="1">
                  <from>
                    <xdr:col>0</xdr:col>
                    <xdr:colOff>609600</xdr:colOff>
                    <xdr:row>140</xdr:row>
                    <xdr:rowOff>180975</xdr:rowOff>
                  </from>
                  <to>
                    <xdr:col>1</xdr:col>
                    <xdr:colOff>28575</xdr:colOff>
                    <xdr:row>142</xdr:row>
                    <xdr:rowOff>28575</xdr:rowOff>
                  </to>
                </anchor>
              </controlPr>
            </control>
          </mc:Choice>
        </mc:AlternateContent>
        <mc:AlternateContent xmlns:mc="http://schemas.openxmlformats.org/markup-compatibility/2006">
          <mc:Choice Requires="x14">
            <control shapeId="5362" r:id="rId152" name="Check Box 242">
              <controlPr defaultSize="0" autoFill="0" autoLine="0" autoPict="0">
                <anchor moveWithCells="1">
                  <from>
                    <xdr:col>0</xdr:col>
                    <xdr:colOff>542925</xdr:colOff>
                    <xdr:row>145</xdr:row>
                    <xdr:rowOff>0</xdr:rowOff>
                  </from>
                  <to>
                    <xdr:col>0</xdr:col>
                    <xdr:colOff>742950</xdr:colOff>
                    <xdr:row>146</xdr:row>
                    <xdr:rowOff>28575</xdr:rowOff>
                  </to>
                </anchor>
              </controlPr>
            </control>
          </mc:Choice>
        </mc:AlternateContent>
        <mc:AlternateContent xmlns:mc="http://schemas.openxmlformats.org/markup-compatibility/2006">
          <mc:Choice Requires="x14">
            <control shapeId="9" r:id="rId153" name="Option Button 243">
              <controlPr defaultSize="0" autoFill="0" autoLine="0" autoPict="0">
                <anchor moveWithCells="1">
                  <from>
                    <xdr:col>7</xdr:col>
                    <xdr:colOff>190500</xdr:colOff>
                    <xdr:row>41</xdr:row>
                    <xdr:rowOff>9525</xdr:rowOff>
                  </from>
                  <to>
                    <xdr:col>7</xdr:col>
                    <xdr:colOff>438150</xdr:colOff>
                    <xdr:row>42</xdr:row>
                    <xdr:rowOff>38100</xdr:rowOff>
                  </to>
                </anchor>
              </controlPr>
            </control>
          </mc:Choice>
        </mc:AlternateContent>
        <mc:AlternateContent xmlns:mc="http://schemas.openxmlformats.org/markup-compatibility/2006">
          <mc:Choice Requires="x14">
            <control shapeId="5365" r:id="rId154" name="Option Button 24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366" r:id="rId155" name="Option Button 246">
              <controlPr defaultSize="0" autoFill="0" autoLine="0" autoPict="0">
                <anchor moveWithCells="1">
                  <from>
                    <xdr:col>7</xdr:col>
                    <xdr:colOff>342900</xdr:colOff>
                    <xdr:row>87</xdr:row>
                    <xdr:rowOff>0</xdr:rowOff>
                  </from>
                  <to>
                    <xdr:col>7</xdr:col>
                    <xdr:colOff>542925</xdr:colOff>
                    <xdr:row>88</xdr:row>
                    <xdr:rowOff>38100</xdr:rowOff>
                  </to>
                </anchor>
              </controlPr>
            </control>
          </mc:Choice>
        </mc:AlternateContent>
        <mc:AlternateContent xmlns:mc="http://schemas.openxmlformats.org/markup-compatibility/2006">
          <mc:Choice Requires="x14">
            <control shapeId="5367" r:id="rId156" name="Option Button 247">
              <controlPr defaultSize="0" autoFill="0" autoLine="0" autoPict="0">
                <anchor moveWithCells="1">
                  <from>
                    <xdr:col>3</xdr:col>
                    <xdr:colOff>628650</xdr:colOff>
                    <xdr:row>86</xdr:row>
                    <xdr:rowOff>190500</xdr:rowOff>
                  </from>
                  <to>
                    <xdr:col>4</xdr:col>
                    <xdr:colOff>180975</xdr:colOff>
                    <xdr:row>88</xdr:row>
                    <xdr:rowOff>28575</xdr:rowOff>
                  </to>
                </anchor>
              </controlPr>
            </control>
          </mc:Choice>
        </mc:AlternateContent>
        <mc:AlternateContent xmlns:mc="http://schemas.openxmlformats.org/markup-compatibility/2006">
          <mc:Choice Requires="x14">
            <control shapeId="5368" r:id="rId157" name="Option Button 248">
              <controlPr defaultSize="0" autoFill="0" autoLine="0" autoPict="0">
                <anchor moveWithCells="1">
                  <from>
                    <xdr:col>0</xdr:col>
                    <xdr:colOff>628650</xdr:colOff>
                    <xdr:row>78</xdr:row>
                    <xdr:rowOff>0</xdr:rowOff>
                  </from>
                  <to>
                    <xdr:col>1</xdr:col>
                    <xdr:colOff>57150</xdr:colOff>
                    <xdr:row>79</xdr:row>
                    <xdr:rowOff>57150</xdr:rowOff>
                  </to>
                </anchor>
              </controlPr>
            </control>
          </mc:Choice>
        </mc:AlternateContent>
        <mc:AlternateContent xmlns:mc="http://schemas.openxmlformats.org/markup-compatibility/2006">
          <mc:Choice Requires="x14">
            <control shapeId="5369" r:id="rId158" name="Option Button 249">
              <controlPr defaultSize="0" autoFill="0" autoLine="0" autoPict="0">
                <anchor moveWithCells="1">
                  <from>
                    <xdr:col>4</xdr:col>
                    <xdr:colOff>476250</xdr:colOff>
                    <xdr:row>129</xdr:row>
                    <xdr:rowOff>9525</xdr:rowOff>
                  </from>
                  <to>
                    <xdr:col>5</xdr:col>
                    <xdr:colOff>57150</xdr:colOff>
                    <xdr:row>130</xdr:row>
                    <xdr:rowOff>38100</xdr:rowOff>
                  </to>
                </anchor>
              </controlPr>
            </control>
          </mc:Choice>
        </mc:AlternateContent>
        <mc:AlternateContent xmlns:mc="http://schemas.openxmlformats.org/markup-compatibility/2006">
          <mc:Choice Requires="x14">
            <control shapeId="5370" r:id="rId159" name="Option Button 250">
              <controlPr defaultSize="0" autoFill="0" autoLine="0" autoPict="0">
                <anchor moveWithCells="1">
                  <from>
                    <xdr:col>4</xdr:col>
                    <xdr:colOff>466725</xdr:colOff>
                    <xdr:row>127</xdr:row>
                    <xdr:rowOff>9525</xdr:rowOff>
                  </from>
                  <to>
                    <xdr:col>5</xdr:col>
                    <xdr:colOff>38100</xdr:colOff>
                    <xdr:row>128</xdr:row>
                    <xdr:rowOff>28575</xdr:rowOff>
                  </to>
                </anchor>
              </controlPr>
            </control>
          </mc:Choice>
        </mc:AlternateContent>
        <mc:AlternateContent xmlns:mc="http://schemas.openxmlformats.org/markup-compatibility/2006">
          <mc:Choice Requires="x14">
            <control shapeId="5371" r:id="rId160" name="Option Button 251">
              <controlPr defaultSize="0" autoFill="0" autoLine="0" autoPict="0">
                <anchor moveWithCells="1">
                  <from>
                    <xdr:col>4</xdr:col>
                    <xdr:colOff>476250</xdr:colOff>
                    <xdr:row>128</xdr:row>
                    <xdr:rowOff>19050</xdr:rowOff>
                  </from>
                  <to>
                    <xdr:col>5</xdr:col>
                    <xdr:colOff>47625</xdr:colOff>
                    <xdr:row>129</xdr:row>
                    <xdr:rowOff>57150</xdr:rowOff>
                  </to>
                </anchor>
              </controlPr>
            </control>
          </mc:Choice>
        </mc:AlternateContent>
        <mc:AlternateContent xmlns:mc="http://schemas.openxmlformats.org/markup-compatibility/2006">
          <mc:Choice Requires="x14">
            <control shapeId="5372" r:id="rId161" name="Option Button 252">
              <controlPr defaultSize="0" autoFill="0" autoLine="0" autoPict="0">
                <anchor moveWithCells="1">
                  <from>
                    <xdr:col>8</xdr:col>
                    <xdr:colOff>66675</xdr:colOff>
                    <xdr:row>126</xdr:row>
                    <xdr:rowOff>180975</xdr:rowOff>
                  </from>
                  <to>
                    <xdr:col>8</xdr:col>
                    <xdr:colOff>266700</xdr:colOff>
                    <xdr:row>128</xdr:row>
                    <xdr:rowOff>9525</xdr:rowOff>
                  </to>
                </anchor>
              </controlPr>
            </control>
          </mc:Choice>
        </mc:AlternateContent>
        <mc:AlternateContent xmlns:mc="http://schemas.openxmlformats.org/markup-compatibility/2006">
          <mc:Choice Requires="x14">
            <control shapeId="5373" r:id="rId162" name="Group Box 253">
              <controlPr defaultSize="0" autoFill="0" autoPict="0">
                <anchor moveWithCells="1">
                  <from>
                    <xdr:col>0</xdr:col>
                    <xdr:colOff>314325</xdr:colOff>
                    <xdr:row>62</xdr:row>
                    <xdr:rowOff>161925</xdr:rowOff>
                  </from>
                  <to>
                    <xdr:col>9</xdr:col>
                    <xdr:colOff>542925</xdr:colOff>
                    <xdr:row>66</xdr:row>
                    <xdr:rowOff>180975</xdr:rowOff>
                  </to>
                </anchor>
              </controlPr>
            </control>
          </mc:Choice>
        </mc:AlternateContent>
        <mc:AlternateContent xmlns:mc="http://schemas.openxmlformats.org/markup-compatibility/2006">
          <mc:Choice Requires="x14">
            <control shapeId="5374" r:id="rId163" name="Option Button 25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375" r:id="rId164" name="Option Button 255">
              <controlPr defaultSize="0" autoFill="0" autoLine="0" autoPict="0">
                <anchor moveWithCells="1">
                  <from>
                    <xdr:col>0</xdr:col>
                    <xdr:colOff>600075</xdr:colOff>
                    <xdr:row>86</xdr:row>
                    <xdr:rowOff>0</xdr:rowOff>
                  </from>
                  <to>
                    <xdr:col>1</xdr:col>
                    <xdr:colOff>19050</xdr:colOff>
                    <xdr:row>87</xdr:row>
                    <xdr:rowOff>28575</xdr:rowOff>
                  </to>
                </anchor>
              </controlPr>
            </control>
          </mc:Choice>
        </mc:AlternateContent>
        <mc:AlternateContent xmlns:mc="http://schemas.openxmlformats.org/markup-compatibility/2006">
          <mc:Choice Requires="x14">
            <control shapeId="5376" r:id="rId165" name="Option Button 256">
              <controlPr defaultSize="0" autoFill="0" autoLine="0" autoPict="0">
                <anchor moveWithCells="1">
                  <from>
                    <xdr:col>0</xdr:col>
                    <xdr:colOff>600075</xdr:colOff>
                    <xdr:row>86</xdr:row>
                    <xdr:rowOff>180975</xdr:rowOff>
                  </from>
                  <to>
                    <xdr:col>1</xdr:col>
                    <xdr:colOff>19050</xdr:colOff>
                    <xdr:row>88</xdr:row>
                    <xdr:rowOff>28575</xdr:rowOff>
                  </to>
                </anchor>
              </controlPr>
            </control>
          </mc:Choice>
        </mc:AlternateContent>
        <mc:AlternateContent xmlns:mc="http://schemas.openxmlformats.org/markup-compatibility/2006">
          <mc:Choice Requires="x14">
            <control shapeId="5377" r:id="rId166" name="Option Button 257">
              <controlPr defaultSize="0" autoFill="0" autoLine="0" autoPict="0">
                <anchor moveWithCells="1">
                  <from>
                    <xdr:col>0</xdr:col>
                    <xdr:colOff>600075</xdr:colOff>
                    <xdr:row>87</xdr:row>
                    <xdr:rowOff>171450</xdr:rowOff>
                  </from>
                  <to>
                    <xdr:col>1</xdr:col>
                    <xdr:colOff>19050</xdr:colOff>
                    <xdr:row>89</xdr:row>
                    <xdr:rowOff>9525</xdr:rowOff>
                  </to>
                </anchor>
              </controlPr>
            </control>
          </mc:Choice>
        </mc:AlternateContent>
        <mc:AlternateContent xmlns:mc="http://schemas.openxmlformats.org/markup-compatibility/2006">
          <mc:Choice Requires="x14">
            <control shapeId="5378" r:id="rId167" name="Option Button 258">
              <controlPr defaultSize="0" autoFill="0" autoLine="0" autoPict="0">
                <anchor moveWithCells="1">
                  <from>
                    <xdr:col>3</xdr:col>
                    <xdr:colOff>619125</xdr:colOff>
                    <xdr:row>87</xdr:row>
                    <xdr:rowOff>180975</xdr:rowOff>
                  </from>
                  <to>
                    <xdr:col>4</xdr:col>
                    <xdr:colOff>171450</xdr:colOff>
                    <xdr:row>89</xdr:row>
                    <xdr:rowOff>9525</xdr:rowOff>
                  </to>
                </anchor>
              </controlPr>
            </control>
          </mc:Choice>
        </mc:AlternateContent>
        <mc:AlternateContent xmlns:mc="http://schemas.openxmlformats.org/markup-compatibility/2006">
          <mc:Choice Requires="x14">
            <control shapeId="10" r:id="rId168" name="Option Button 259">
              <controlPr defaultSize="0" autoFill="0" autoLine="0" autoPict="0">
                <anchor moveWithCells="1">
                  <from>
                    <xdr:col>3</xdr:col>
                    <xdr:colOff>619125</xdr:colOff>
                    <xdr:row>87</xdr:row>
                    <xdr:rowOff>180975</xdr:rowOff>
                  </from>
                  <to>
                    <xdr:col>4</xdr:col>
                    <xdr:colOff>171450</xdr:colOff>
                    <xdr:row>89</xdr:row>
                    <xdr:rowOff>9525</xdr:rowOff>
                  </to>
                </anchor>
              </controlPr>
            </control>
          </mc:Choice>
        </mc:AlternateContent>
        <mc:AlternateContent xmlns:mc="http://schemas.openxmlformats.org/markup-compatibility/2006">
          <mc:Choice Requires="x14">
            <control shapeId="11" r:id="rId169" name="Option Button 260">
              <controlPr defaultSize="0" autoFill="0" autoLine="0" autoPict="0">
                <anchor moveWithCells="1">
                  <from>
                    <xdr:col>3</xdr:col>
                    <xdr:colOff>619125</xdr:colOff>
                    <xdr:row>88</xdr:row>
                    <xdr:rowOff>180975</xdr:rowOff>
                  </from>
                  <to>
                    <xdr:col>4</xdr:col>
                    <xdr:colOff>171450</xdr:colOff>
                    <xdr:row>90</xdr:row>
                    <xdr:rowOff>0</xdr:rowOff>
                  </to>
                </anchor>
              </controlPr>
            </control>
          </mc:Choice>
        </mc:AlternateContent>
        <mc:AlternateContent xmlns:mc="http://schemas.openxmlformats.org/markup-compatibility/2006">
          <mc:Choice Requires="x14">
            <control shapeId="12" r:id="rId170" name="Option Button 261">
              <controlPr defaultSize="0" autoFill="0" autoLine="0" autoPict="0">
                <anchor moveWithCells="1">
                  <from>
                    <xdr:col>3</xdr:col>
                    <xdr:colOff>619125</xdr:colOff>
                    <xdr:row>88</xdr:row>
                    <xdr:rowOff>180975</xdr:rowOff>
                  </from>
                  <to>
                    <xdr:col>4</xdr:col>
                    <xdr:colOff>171450</xdr:colOff>
                    <xdr:row>90</xdr:row>
                    <xdr:rowOff>0</xdr:rowOff>
                  </to>
                </anchor>
              </controlPr>
            </control>
          </mc:Choice>
        </mc:AlternateContent>
        <mc:AlternateContent xmlns:mc="http://schemas.openxmlformats.org/markup-compatibility/2006">
          <mc:Choice Requires="x14">
            <control shapeId="13" r:id="rId171" name="Option Button 262">
              <controlPr defaultSize="0" autoFill="0" autoLine="0" autoPict="0">
                <anchor moveWithCells="1">
                  <from>
                    <xdr:col>3</xdr:col>
                    <xdr:colOff>619125</xdr:colOff>
                    <xdr:row>89</xdr:row>
                    <xdr:rowOff>180975</xdr:rowOff>
                  </from>
                  <to>
                    <xdr:col>4</xdr:col>
                    <xdr:colOff>171450</xdr:colOff>
                    <xdr:row>91</xdr:row>
                    <xdr:rowOff>9525</xdr:rowOff>
                  </to>
                </anchor>
              </controlPr>
            </control>
          </mc:Choice>
        </mc:AlternateContent>
        <mc:AlternateContent xmlns:mc="http://schemas.openxmlformats.org/markup-compatibility/2006">
          <mc:Choice Requires="x14">
            <control shapeId="5383" r:id="rId172" name="Option Button 263">
              <controlPr defaultSize="0" autoFill="0" autoLine="0" autoPict="0">
                <anchor moveWithCells="1">
                  <from>
                    <xdr:col>3</xdr:col>
                    <xdr:colOff>619125</xdr:colOff>
                    <xdr:row>89</xdr:row>
                    <xdr:rowOff>180975</xdr:rowOff>
                  </from>
                  <to>
                    <xdr:col>4</xdr:col>
                    <xdr:colOff>171450</xdr:colOff>
                    <xdr:row>91</xdr:row>
                    <xdr:rowOff>9525</xdr:rowOff>
                  </to>
                </anchor>
              </controlPr>
            </control>
          </mc:Choice>
        </mc:AlternateContent>
        <mc:AlternateContent xmlns:mc="http://schemas.openxmlformats.org/markup-compatibility/2006">
          <mc:Choice Requires="x14">
            <control shapeId="14" r:id="rId173" name="Option Button 264">
              <controlPr defaultSize="0" autoFill="0" autoLine="0" autoPict="0">
                <anchor moveWithCells="1">
                  <from>
                    <xdr:col>3</xdr:col>
                    <xdr:colOff>619125</xdr:colOff>
                    <xdr:row>90</xdr:row>
                    <xdr:rowOff>180975</xdr:rowOff>
                  </from>
                  <to>
                    <xdr:col>4</xdr:col>
                    <xdr:colOff>171450</xdr:colOff>
                    <xdr:row>92</xdr:row>
                    <xdr:rowOff>9525</xdr:rowOff>
                  </to>
                </anchor>
              </controlPr>
            </control>
          </mc:Choice>
        </mc:AlternateContent>
        <mc:AlternateContent xmlns:mc="http://schemas.openxmlformats.org/markup-compatibility/2006">
          <mc:Choice Requires="x14">
            <control shapeId="15" r:id="rId174" name="Option Button 265">
              <controlPr defaultSize="0" autoFill="0" autoLine="0" autoPict="0">
                <anchor moveWithCells="1">
                  <from>
                    <xdr:col>3</xdr:col>
                    <xdr:colOff>619125</xdr:colOff>
                    <xdr:row>90</xdr:row>
                    <xdr:rowOff>180975</xdr:rowOff>
                  </from>
                  <to>
                    <xdr:col>4</xdr:col>
                    <xdr:colOff>171450</xdr:colOff>
                    <xdr:row>92</xdr:row>
                    <xdr:rowOff>9525</xdr:rowOff>
                  </to>
                </anchor>
              </controlPr>
            </control>
          </mc:Choice>
        </mc:AlternateContent>
        <mc:AlternateContent xmlns:mc="http://schemas.openxmlformats.org/markup-compatibility/2006">
          <mc:Choice Requires="x14">
            <control shapeId="16" r:id="rId175" name="Option Button 266">
              <controlPr defaultSize="0" autoFill="0" autoLine="0" autoPict="0">
                <anchor moveWithCells="1">
                  <from>
                    <xdr:col>0</xdr:col>
                    <xdr:colOff>600075</xdr:colOff>
                    <xdr:row>85</xdr:row>
                    <xdr:rowOff>9525</xdr:rowOff>
                  </from>
                  <to>
                    <xdr:col>1</xdr:col>
                    <xdr:colOff>19050</xdr:colOff>
                    <xdr:row>86</xdr:row>
                    <xdr:rowOff>38100</xdr:rowOff>
                  </to>
                </anchor>
              </controlPr>
            </control>
          </mc:Choice>
        </mc:AlternateContent>
        <mc:AlternateContent xmlns:mc="http://schemas.openxmlformats.org/markup-compatibility/2006">
          <mc:Choice Requires="x14">
            <control shapeId="17" r:id="rId176" name="Group Box 267">
              <controlPr defaultSize="0" autoFill="0" autoPict="0">
                <anchor moveWithCells="1">
                  <from>
                    <xdr:col>0</xdr:col>
                    <xdr:colOff>390525</xdr:colOff>
                    <xdr:row>85</xdr:row>
                    <xdr:rowOff>0</xdr:rowOff>
                  </from>
                  <to>
                    <xdr:col>11</xdr:col>
                    <xdr:colOff>28575</xdr:colOff>
                    <xdr:row>99</xdr:row>
                    <xdr:rowOff>57150</xdr:rowOff>
                  </to>
                </anchor>
              </controlPr>
            </control>
          </mc:Choice>
        </mc:AlternateContent>
        <mc:AlternateContent xmlns:mc="http://schemas.openxmlformats.org/markup-compatibility/2006">
          <mc:Choice Requires="x14">
            <control shapeId="5388" r:id="rId177" name="Option Button 268">
              <controlPr defaultSize="0" autoFill="0" autoLine="0" autoPict="0">
                <anchor moveWithCells="1">
                  <from>
                    <xdr:col>3</xdr:col>
                    <xdr:colOff>619125</xdr:colOff>
                    <xdr:row>90</xdr:row>
                    <xdr:rowOff>180975</xdr:rowOff>
                  </from>
                  <to>
                    <xdr:col>4</xdr:col>
                    <xdr:colOff>171450</xdr:colOff>
                    <xdr:row>92</xdr:row>
                    <xdr:rowOff>9525</xdr:rowOff>
                  </to>
                </anchor>
              </controlPr>
            </control>
          </mc:Choice>
        </mc:AlternateContent>
        <mc:AlternateContent xmlns:mc="http://schemas.openxmlformats.org/markup-compatibility/2006">
          <mc:Choice Requires="x14">
            <control shapeId="5389" r:id="rId178" name="Option Button 269">
              <controlPr defaultSize="0" autoFill="0" autoLine="0" autoPict="0">
                <anchor moveWithCells="1">
                  <from>
                    <xdr:col>3</xdr:col>
                    <xdr:colOff>619125</xdr:colOff>
                    <xdr:row>90</xdr:row>
                    <xdr:rowOff>190500</xdr:rowOff>
                  </from>
                  <to>
                    <xdr:col>4</xdr:col>
                    <xdr:colOff>171450</xdr:colOff>
                    <xdr:row>92</xdr:row>
                    <xdr:rowOff>19050</xdr:rowOff>
                  </to>
                </anchor>
              </controlPr>
            </control>
          </mc:Choice>
        </mc:AlternateContent>
        <mc:AlternateContent xmlns:mc="http://schemas.openxmlformats.org/markup-compatibility/2006">
          <mc:Choice Requires="x14">
            <control shapeId="18" r:id="rId179" name="Option Button 270">
              <controlPr defaultSize="0" autoFill="0" autoLine="0" autoPict="0">
                <anchor moveWithCells="1">
                  <from>
                    <xdr:col>3</xdr:col>
                    <xdr:colOff>619125</xdr:colOff>
                    <xdr:row>91</xdr:row>
                    <xdr:rowOff>180975</xdr:rowOff>
                  </from>
                  <to>
                    <xdr:col>4</xdr:col>
                    <xdr:colOff>171450</xdr:colOff>
                    <xdr:row>93</xdr:row>
                    <xdr:rowOff>9525</xdr:rowOff>
                  </to>
                </anchor>
              </controlPr>
            </control>
          </mc:Choice>
        </mc:AlternateContent>
        <mc:AlternateContent xmlns:mc="http://schemas.openxmlformats.org/markup-compatibility/2006">
          <mc:Choice Requires="x14">
            <control shapeId="19" r:id="rId180" name="Option Button 271">
              <controlPr defaultSize="0" autoFill="0" autoLine="0" autoPict="0">
                <anchor moveWithCells="1">
                  <from>
                    <xdr:col>3</xdr:col>
                    <xdr:colOff>619125</xdr:colOff>
                    <xdr:row>91</xdr:row>
                    <xdr:rowOff>180975</xdr:rowOff>
                  </from>
                  <to>
                    <xdr:col>4</xdr:col>
                    <xdr:colOff>171450</xdr:colOff>
                    <xdr:row>93</xdr:row>
                    <xdr:rowOff>9525</xdr:rowOff>
                  </to>
                </anchor>
              </controlPr>
            </control>
          </mc:Choice>
        </mc:AlternateContent>
        <mc:AlternateContent xmlns:mc="http://schemas.openxmlformats.org/markup-compatibility/2006">
          <mc:Choice Requires="x14">
            <control shapeId="20" r:id="rId181" name="Option Button 272">
              <controlPr defaultSize="0" autoFill="0" autoLine="0" autoPict="0">
                <anchor moveWithCells="1">
                  <from>
                    <xdr:col>3</xdr:col>
                    <xdr:colOff>619125</xdr:colOff>
                    <xdr:row>91</xdr:row>
                    <xdr:rowOff>180975</xdr:rowOff>
                  </from>
                  <to>
                    <xdr:col>4</xdr:col>
                    <xdr:colOff>171450</xdr:colOff>
                    <xdr:row>93</xdr:row>
                    <xdr:rowOff>9525</xdr:rowOff>
                  </to>
                </anchor>
              </controlPr>
            </control>
          </mc:Choice>
        </mc:AlternateContent>
        <mc:AlternateContent xmlns:mc="http://schemas.openxmlformats.org/markup-compatibility/2006">
          <mc:Choice Requires="x14">
            <control shapeId="5393" r:id="rId182" name="Option Button 273">
              <controlPr defaultSize="0" autoFill="0" autoLine="0" autoPict="0">
                <anchor moveWithCells="1">
                  <from>
                    <xdr:col>3</xdr:col>
                    <xdr:colOff>619125</xdr:colOff>
                    <xdr:row>91</xdr:row>
                    <xdr:rowOff>180975</xdr:rowOff>
                  </from>
                  <to>
                    <xdr:col>4</xdr:col>
                    <xdr:colOff>171450</xdr:colOff>
                    <xdr:row>93</xdr:row>
                    <xdr:rowOff>9525</xdr:rowOff>
                  </to>
                </anchor>
              </controlPr>
            </control>
          </mc:Choice>
        </mc:AlternateContent>
        <mc:AlternateContent xmlns:mc="http://schemas.openxmlformats.org/markup-compatibility/2006">
          <mc:Choice Requires="x14">
            <control shapeId="5394" r:id="rId183" name="Option Button 274">
              <controlPr defaultSize="0" autoFill="0" autoLine="0" autoPict="0">
                <anchor moveWithCells="1">
                  <from>
                    <xdr:col>3</xdr:col>
                    <xdr:colOff>619125</xdr:colOff>
                    <xdr:row>92</xdr:row>
                    <xdr:rowOff>180975</xdr:rowOff>
                  </from>
                  <to>
                    <xdr:col>4</xdr:col>
                    <xdr:colOff>171450</xdr:colOff>
                    <xdr:row>94</xdr:row>
                    <xdr:rowOff>9525</xdr:rowOff>
                  </to>
                </anchor>
              </controlPr>
            </control>
          </mc:Choice>
        </mc:AlternateContent>
        <mc:AlternateContent xmlns:mc="http://schemas.openxmlformats.org/markup-compatibility/2006">
          <mc:Choice Requires="x14">
            <control shapeId="21" r:id="rId184" name="Option Button 275">
              <controlPr defaultSize="0" autoFill="0" autoLine="0" autoPict="0">
                <anchor moveWithCells="1">
                  <from>
                    <xdr:col>3</xdr:col>
                    <xdr:colOff>619125</xdr:colOff>
                    <xdr:row>92</xdr:row>
                    <xdr:rowOff>180975</xdr:rowOff>
                  </from>
                  <to>
                    <xdr:col>4</xdr:col>
                    <xdr:colOff>171450</xdr:colOff>
                    <xdr:row>94</xdr:row>
                    <xdr:rowOff>9525</xdr:rowOff>
                  </to>
                </anchor>
              </controlPr>
            </control>
          </mc:Choice>
        </mc:AlternateContent>
        <mc:AlternateContent xmlns:mc="http://schemas.openxmlformats.org/markup-compatibility/2006">
          <mc:Choice Requires="x14">
            <control shapeId="22" r:id="rId185" name="Option Button 276">
              <controlPr defaultSize="0" autoFill="0" autoLine="0" autoPict="0">
                <anchor moveWithCells="1">
                  <from>
                    <xdr:col>3</xdr:col>
                    <xdr:colOff>619125</xdr:colOff>
                    <xdr:row>92</xdr:row>
                    <xdr:rowOff>180975</xdr:rowOff>
                  </from>
                  <to>
                    <xdr:col>4</xdr:col>
                    <xdr:colOff>171450</xdr:colOff>
                    <xdr:row>94</xdr:row>
                    <xdr:rowOff>9525</xdr:rowOff>
                  </to>
                </anchor>
              </controlPr>
            </control>
          </mc:Choice>
        </mc:AlternateContent>
        <mc:AlternateContent xmlns:mc="http://schemas.openxmlformats.org/markup-compatibility/2006">
          <mc:Choice Requires="x14">
            <control shapeId="23" r:id="rId186" name="Option Button 277">
              <controlPr defaultSize="0" autoFill="0" autoLine="0" autoPict="0">
                <anchor moveWithCells="1">
                  <from>
                    <xdr:col>3</xdr:col>
                    <xdr:colOff>619125</xdr:colOff>
                    <xdr:row>92</xdr:row>
                    <xdr:rowOff>180975</xdr:rowOff>
                  </from>
                  <to>
                    <xdr:col>4</xdr:col>
                    <xdr:colOff>171450</xdr:colOff>
                    <xdr:row>94</xdr:row>
                    <xdr:rowOff>9525</xdr:rowOff>
                  </to>
                </anchor>
              </controlPr>
            </control>
          </mc:Choice>
        </mc:AlternateContent>
        <mc:AlternateContent xmlns:mc="http://schemas.openxmlformats.org/markup-compatibility/2006">
          <mc:Choice Requires="x14">
            <control shapeId="24" r:id="rId187" name="Option Button 278">
              <controlPr defaultSize="0" autoFill="0" autoLine="0" autoPict="0">
                <anchor moveWithCells="1">
                  <from>
                    <xdr:col>3</xdr:col>
                    <xdr:colOff>619125</xdr:colOff>
                    <xdr:row>93</xdr:row>
                    <xdr:rowOff>180975</xdr:rowOff>
                  </from>
                  <to>
                    <xdr:col>4</xdr:col>
                    <xdr:colOff>171450</xdr:colOff>
                    <xdr:row>95</xdr:row>
                    <xdr:rowOff>0</xdr:rowOff>
                  </to>
                </anchor>
              </controlPr>
            </control>
          </mc:Choice>
        </mc:AlternateContent>
        <mc:AlternateContent xmlns:mc="http://schemas.openxmlformats.org/markup-compatibility/2006">
          <mc:Choice Requires="x14">
            <control shapeId="25" r:id="rId188" name="Option Button 279">
              <controlPr defaultSize="0" autoFill="0" autoLine="0" autoPict="0">
                <anchor moveWithCells="1">
                  <from>
                    <xdr:col>3</xdr:col>
                    <xdr:colOff>619125</xdr:colOff>
                    <xdr:row>93</xdr:row>
                    <xdr:rowOff>180975</xdr:rowOff>
                  </from>
                  <to>
                    <xdr:col>4</xdr:col>
                    <xdr:colOff>171450</xdr:colOff>
                    <xdr:row>95</xdr:row>
                    <xdr:rowOff>0</xdr:rowOff>
                  </to>
                </anchor>
              </controlPr>
            </control>
          </mc:Choice>
        </mc:AlternateContent>
        <mc:AlternateContent xmlns:mc="http://schemas.openxmlformats.org/markup-compatibility/2006">
          <mc:Choice Requires="x14">
            <control shapeId="26" r:id="rId189" name="Option Button 280">
              <controlPr defaultSize="0" autoFill="0" autoLine="0" autoPict="0">
                <anchor moveWithCells="1">
                  <from>
                    <xdr:col>3</xdr:col>
                    <xdr:colOff>619125</xdr:colOff>
                    <xdr:row>93</xdr:row>
                    <xdr:rowOff>180975</xdr:rowOff>
                  </from>
                  <to>
                    <xdr:col>4</xdr:col>
                    <xdr:colOff>171450</xdr:colOff>
                    <xdr:row>95</xdr:row>
                    <xdr:rowOff>0</xdr:rowOff>
                  </to>
                </anchor>
              </controlPr>
            </control>
          </mc:Choice>
        </mc:AlternateContent>
        <mc:AlternateContent xmlns:mc="http://schemas.openxmlformats.org/markup-compatibility/2006">
          <mc:Choice Requires="x14">
            <control shapeId="5401" r:id="rId190" name="Option Button 281">
              <controlPr defaultSize="0" autoFill="0" autoLine="0" autoPict="0">
                <anchor moveWithCells="1">
                  <from>
                    <xdr:col>3</xdr:col>
                    <xdr:colOff>619125</xdr:colOff>
                    <xdr:row>93</xdr:row>
                    <xdr:rowOff>180975</xdr:rowOff>
                  </from>
                  <to>
                    <xdr:col>4</xdr:col>
                    <xdr:colOff>171450</xdr:colOff>
                    <xdr:row>95</xdr:row>
                    <xdr:rowOff>0</xdr:rowOff>
                  </to>
                </anchor>
              </controlPr>
            </control>
          </mc:Choice>
        </mc:AlternateContent>
        <mc:AlternateContent xmlns:mc="http://schemas.openxmlformats.org/markup-compatibility/2006">
          <mc:Choice Requires="x14">
            <control shapeId="5402" r:id="rId191" name="Option Button 282">
              <controlPr defaultSize="0" autoFill="0" autoLine="0" autoPict="0">
                <anchor moveWithCells="1">
                  <from>
                    <xdr:col>3</xdr:col>
                    <xdr:colOff>619125</xdr:colOff>
                    <xdr:row>93</xdr:row>
                    <xdr:rowOff>180975</xdr:rowOff>
                  </from>
                  <to>
                    <xdr:col>4</xdr:col>
                    <xdr:colOff>171450</xdr:colOff>
                    <xdr:row>95</xdr:row>
                    <xdr:rowOff>0</xdr:rowOff>
                  </to>
                </anchor>
              </controlPr>
            </control>
          </mc:Choice>
        </mc:AlternateContent>
        <mc:AlternateContent xmlns:mc="http://schemas.openxmlformats.org/markup-compatibility/2006">
          <mc:Choice Requires="x14">
            <control shapeId="5403" r:id="rId192" name="Option Button 283">
              <controlPr defaultSize="0" autoFill="0" autoLine="0" autoPict="0">
                <anchor moveWithCells="1">
                  <from>
                    <xdr:col>3</xdr:col>
                    <xdr:colOff>619125</xdr:colOff>
                    <xdr:row>93</xdr:row>
                    <xdr:rowOff>180975</xdr:rowOff>
                  </from>
                  <to>
                    <xdr:col>4</xdr:col>
                    <xdr:colOff>171450</xdr:colOff>
                    <xdr:row>95</xdr:row>
                    <xdr:rowOff>0</xdr:rowOff>
                  </to>
                </anchor>
              </controlPr>
            </control>
          </mc:Choice>
        </mc:AlternateContent>
        <mc:AlternateContent xmlns:mc="http://schemas.openxmlformats.org/markup-compatibility/2006">
          <mc:Choice Requires="x14">
            <control shapeId="5404" r:id="rId193" name="Option Button 284">
              <controlPr defaultSize="0" autoFill="0" autoLine="0" autoPict="0">
                <anchor moveWithCells="1">
                  <from>
                    <xdr:col>3</xdr:col>
                    <xdr:colOff>619125</xdr:colOff>
                    <xdr:row>93</xdr:row>
                    <xdr:rowOff>180975</xdr:rowOff>
                  </from>
                  <to>
                    <xdr:col>4</xdr:col>
                    <xdr:colOff>171450</xdr:colOff>
                    <xdr:row>95</xdr:row>
                    <xdr:rowOff>0</xdr:rowOff>
                  </to>
                </anchor>
              </controlPr>
            </control>
          </mc:Choice>
        </mc:AlternateContent>
        <mc:AlternateContent xmlns:mc="http://schemas.openxmlformats.org/markup-compatibility/2006">
          <mc:Choice Requires="x14">
            <control shapeId="5405" r:id="rId194" name="Option Button 285">
              <controlPr defaultSize="0" autoFill="0" autoLine="0" autoPict="0">
                <anchor moveWithCells="1">
                  <from>
                    <xdr:col>3</xdr:col>
                    <xdr:colOff>619125</xdr:colOff>
                    <xdr:row>93</xdr:row>
                    <xdr:rowOff>180975</xdr:rowOff>
                  </from>
                  <to>
                    <xdr:col>4</xdr:col>
                    <xdr:colOff>171450</xdr:colOff>
                    <xdr:row>95</xdr:row>
                    <xdr:rowOff>0</xdr:rowOff>
                  </to>
                </anchor>
              </controlPr>
            </control>
          </mc:Choice>
        </mc:AlternateContent>
        <mc:AlternateContent xmlns:mc="http://schemas.openxmlformats.org/markup-compatibility/2006">
          <mc:Choice Requires="x14">
            <control shapeId="5406" r:id="rId195" name="Option Button 286">
              <controlPr defaultSize="0" autoFill="0" autoLine="0" autoPict="0">
                <anchor moveWithCells="1">
                  <from>
                    <xdr:col>3</xdr:col>
                    <xdr:colOff>619125</xdr:colOff>
                    <xdr:row>94</xdr:row>
                    <xdr:rowOff>180975</xdr:rowOff>
                  </from>
                  <to>
                    <xdr:col>4</xdr:col>
                    <xdr:colOff>171450</xdr:colOff>
                    <xdr:row>96</xdr:row>
                    <xdr:rowOff>0</xdr:rowOff>
                  </to>
                </anchor>
              </controlPr>
            </control>
          </mc:Choice>
        </mc:AlternateContent>
        <mc:AlternateContent xmlns:mc="http://schemas.openxmlformats.org/markup-compatibility/2006">
          <mc:Choice Requires="x14">
            <control shapeId="5407" r:id="rId196" name="Option Button 287">
              <controlPr defaultSize="0" autoFill="0" autoLine="0" autoPict="0">
                <anchor moveWithCells="1">
                  <from>
                    <xdr:col>3</xdr:col>
                    <xdr:colOff>619125</xdr:colOff>
                    <xdr:row>94</xdr:row>
                    <xdr:rowOff>180975</xdr:rowOff>
                  </from>
                  <to>
                    <xdr:col>4</xdr:col>
                    <xdr:colOff>171450</xdr:colOff>
                    <xdr:row>96</xdr:row>
                    <xdr:rowOff>0</xdr:rowOff>
                  </to>
                </anchor>
              </controlPr>
            </control>
          </mc:Choice>
        </mc:AlternateContent>
        <mc:AlternateContent xmlns:mc="http://schemas.openxmlformats.org/markup-compatibility/2006">
          <mc:Choice Requires="x14">
            <control shapeId="5408" r:id="rId197" name="Option Button 288">
              <controlPr defaultSize="0" autoFill="0" autoLine="0" autoPict="0">
                <anchor moveWithCells="1">
                  <from>
                    <xdr:col>3</xdr:col>
                    <xdr:colOff>619125</xdr:colOff>
                    <xdr:row>94</xdr:row>
                    <xdr:rowOff>180975</xdr:rowOff>
                  </from>
                  <to>
                    <xdr:col>4</xdr:col>
                    <xdr:colOff>171450</xdr:colOff>
                    <xdr:row>96</xdr:row>
                    <xdr:rowOff>0</xdr:rowOff>
                  </to>
                </anchor>
              </controlPr>
            </control>
          </mc:Choice>
        </mc:AlternateContent>
        <mc:AlternateContent xmlns:mc="http://schemas.openxmlformats.org/markup-compatibility/2006">
          <mc:Choice Requires="x14">
            <control shapeId="5409" r:id="rId198" name="Option Button 289">
              <controlPr defaultSize="0" autoFill="0" autoLine="0" autoPict="0">
                <anchor moveWithCells="1">
                  <from>
                    <xdr:col>3</xdr:col>
                    <xdr:colOff>619125</xdr:colOff>
                    <xdr:row>94</xdr:row>
                    <xdr:rowOff>180975</xdr:rowOff>
                  </from>
                  <to>
                    <xdr:col>4</xdr:col>
                    <xdr:colOff>171450</xdr:colOff>
                    <xdr:row>96</xdr:row>
                    <xdr:rowOff>0</xdr:rowOff>
                  </to>
                </anchor>
              </controlPr>
            </control>
          </mc:Choice>
        </mc:AlternateContent>
        <mc:AlternateContent xmlns:mc="http://schemas.openxmlformats.org/markup-compatibility/2006">
          <mc:Choice Requires="x14">
            <control shapeId="5410" r:id="rId199" name="Option Button 290">
              <controlPr defaultSize="0" autoFill="0" autoLine="0" autoPict="0">
                <anchor moveWithCells="1">
                  <from>
                    <xdr:col>3</xdr:col>
                    <xdr:colOff>619125</xdr:colOff>
                    <xdr:row>94</xdr:row>
                    <xdr:rowOff>180975</xdr:rowOff>
                  </from>
                  <to>
                    <xdr:col>4</xdr:col>
                    <xdr:colOff>171450</xdr:colOff>
                    <xdr:row>96</xdr:row>
                    <xdr:rowOff>0</xdr:rowOff>
                  </to>
                </anchor>
              </controlPr>
            </control>
          </mc:Choice>
        </mc:AlternateContent>
        <mc:AlternateContent xmlns:mc="http://schemas.openxmlformats.org/markup-compatibility/2006">
          <mc:Choice Requires="x14">
            <control shapeId="5411" r:id="rId200" name="Option Button 291">
              <controlPr defaultSize="0" autoFill="0" autoLine="0" autoPict="0">
                <anchor moveWithCells="1">
                  <from>
                    <xdr:col>3</xdr:col>
                    <xdr:colOff>619125</xdr:colOff>
                    <xdr:row>94</xdr:row>
                    <xdr:rowOff>180975</xdr:rowOff>
                  </from>
                  <to>
                    <xdr:col>4</xdr:col>
                    <xdr:colOff>171450</xdr:colOff>
                    <xdr:row>96</xdr:row>
                    <xdr:rowOff>0</xdr:rowOff>
                  </to>
                </anchor>
              </controlPr>
            </control>
          </mc:Choice>
        </mc:AlternateContent>
        <mc:AlternateContent xmlns:mc="http://schemas.openxmlformats.org/markup-compatibility/2006">
          <mc:Choice Requires="x14">
            <control shapeId="5412" r:id="rId201" name="Option Button 292">
              <controlPr defaultSize="0" autoFill="0" autoLine="0" autoPict="0">
                <anchor moveWithCells="1">
                  <from>
                    <xdr:col>3</xdr:col>
                    <xdr:colOff>619125</xdr:colOff>
                    <xdr:row>94</xdr:row>
                    <xdr:rowOff>180975</xdr:rowOff>
                  </from>
                  <to>
                    <xdr:col>4</xdr:col>
                    <xdr:colOff>171450</xdr:colOff>
                    <xdr:row>96</xdr:row>
                    <xdr:rowOff>0</xdr:rowOff>
                  </to>
                </anchor>
              </controlPr>
            </control>
          </mc:Choice>
        </mc:AlternateContent>
        <mc:AlternateContent xmlns:mc="http://schemas.openxmlformats.org/markup-compatibility/2006">
          <mc:Choice Requires="x14">
            <control shapeId="5413" r:id="rId202" name="Option Button 293">
              <controlPr defaultSize="0" autoFill="0" autoLine="0" autoPict="0">
                <anchor moveWithCells="1">
                  <from>
                    <xdr:col>3</xdr:col>
                    <xdr:colOff>619125</xdr:colOff>
                    <xdr:row>94</xdr:row>
                    <xdr:rowOff>180975</xdr:rowOff>
                  </from>
                  <to>
                    <xdr:col>4</xdr:col>
                    <xdr:colOff>171450</xdr:colOff>
                    <xdr:row>96</xdr:row>
                    <xdr:rowOff>0</xdr:rowOff>
                  </to>
                </anchor>
              </controlPr>
            </control>
          </mc:Choice>
        </mc:AlternateContent>
        <mc:AlternateContent xmlns:mc="http://schemas.openxmlformats.org/markup-compatibility/2006">
          <mc:Choice Requires="x14">
            <control shapeId="5414" r:id="rId203" name="Check Box 294">
              <controlPr defaultSize="0" autoFill="0" autoLine="0" autoPict="0">
                <anchor moveWithCells="1">
                  <from>
                    <xdr:col>4</xdr:col>
                    <xdr:colOff>571500</xdr:colOff>
                    <xdr:row>134</xdr:row>
                    <xdr:rowOff>180975</xdr:rowOff>
                  </from>
                  <to>
                    <xdr:col>5</xdr:col>
                    <xdr:colOff>161925</xdr:colOff>
                    <xdr:row>136</xdr:row>
                    <xdr:rowOff>0</xdr:rowOff>
                  </to>
                </anchor>
              </controlPr>
            </control>
          </mc:Choice>
        </mc:AlternateContent>
        <mc:AlternateContent xmlns:mc="http://schemas.openxmlformats.org/markup-compatibility/2006">
          <mc:Choice Requires="x14">
            <control shapeId="5415" r:id="rId204" name="Option Button 295">
              <controlPr defaultSize="0" autoFill="0" autoLine="0" autoPict="0">
                <anchor moveWithCells="1">
                  <from>
                    <xdr:col>0</xdr:col>
                    <xdr:colOff>600075</xdr:colOff>
                    <xdr:row>13</xdr:row>
                    <xdr:rowOff>180975</xdr:rowOff>
                  </from>
                  <to>
                    <xdr:col>1</xdr:col>
                    <xdr:colOff>38100</xdr:colOff>
                    <xdr:row>15</xdr:row>
                    <xdr:rowOff>19050</xdr:rowOff>
                  </to>
                </anchor>
              </controlPr>
            </control>
          </mc:Choice>
        </mc:AlternateContent>
        <mc:AlternateContent xmlns:mc="http://schemas.openxmlformats.org/markup-compatibility/2006">
          <mc:Choice Requires="x14">
            <control shapeId="5416" r:id="rId205" name="Option Button 296">
              <controlPr defaultSize="0" autoFill="0" autoLine="0" autoPict="0">
                <anchor moveWithCells="1">
                  <from>
                    <xdr:col>0</xdr:col>
                    <xdr:colOff>600075</xdr:colOff>
                    <xdr:row>15</xdr:row>
                    <xdr:rowOff>180975</xdr:rowOff>
                  </from>
                  <to>
                    <xdr:col>1</xdr:col>
                    <xdr:colOff>38100</xdr:colOff>
                    <xdr:row>17</xdr:row>
                    <xdr:rowOff>19050</xdr:rowOff>
                  </to>
                </anchor>
              </controlPr>
            </control>
          </mc:Choice>
        </mc:AlternateContent>
        <mc:AlternateContent xmlns:mc="http://schemas.openxmlformats.org/markup-compatibility/2006">
          <mc:Choice Requires="x14">
            <control shapeId="5417" r:id="rId206" name="Option Button 297">
              <controlPr defaultSize="0" autoFill="0" autoLine="0" autoPict="0">
                <anchor moveWithCells="1">
                  <from>
                    <xdr:col>0</xdr:col>
                    <xdr:colOff>600075</xdr:colOff>
                    <xdr:row>16</xdr:row>
                    <xdr:rowOff>180975</xdr:rowOff>
                  </from>
                  <to>
                    <xdr:col>1</xdr:col>
                    <xdr:colOff>38100</xdr:colOff>
                    <xdr:row>18</xdr:row>
                    <xdr:rowOff>19050</xdr:rowOff>
                  </to>
                </anchor>
              </controlPr>
            </control>
          </mc:Choice>
        </mc:AlternateContent>
        <mc:AlternateContent xmlns:mc="http://schemas.openxmlformats.org/markup-compatibility/2006">
          <mc:Choice Requires="x14">
            <control shapeId="5419" r:id="rId207" name="Option Button 299">
              <controlPr defaultSize="0" autoFill="0" autoLine="0" autoPict="0">
                <anchor moveWithCells="1">
                  <from>
                    <xdr:col>0</xdr:col>
                    <xdr:colOff>600075</xdr:colOff>
                    <xdr:row>15</xdr:row>
                    <xdr:rowOff>0</xdr:rowOff>
                  </from>
                  <to>
                    <xdr:col>1</xdr:col>
                    <xdr:colOff>47625</xdr:colOff>
                    <xdr:row>16</xdr:row>
                    <xdr:rowOff>38100</xdr:rowOff>
                  </to>
                </anchor>
              </controlPr>
            </control>
          </mc:Choice>
        </mc:AlternateContent>
        <mc:AlternateContent xmlns:mc="http://schemas.openxmlformats.org/markup-compatibility/2006">
          <mc:Choice Requires="x14">
            <control shapeId="5423" r:id="rId208" name="Option Button 303">
              <controlPr defaultSize="0" autoFill="0" autoLine="0" autoPict="0">
                <anchor moveWithCells="1">
                  <from>
                    <xdr:col>7</xdr:col>
                    <xdr:colOff>561975</xdr:colOff>
                    <xdr:row>29</xdr:row>
                    <xdr:rowOff>171450</xdr:rowOff>
                  </from>
                  <to>
                    <xdr:col>8</xdr:col>
                    <xdr:colOff>114300</xdr:colOff>
                    <xdr:row>31</xdr:row>
                    <xdr:rowOff>9525</xdr:rowOff>
                  </to>
                </anchor>
              </controlPr>
            </control>
          </mc:Choice>
        </mc:AlternateContent>
        <mc:AlternateContent xmlns:mc="http://schemas.openxmlformats.org/markup-compatibility/2006">
          <mc:Choice Requires="x14">
            <control shapeId="5424" r:id="rId209" name="Option Button 304">
              <controlPr defaultSize="0" autoFill="0" autoLine="0" autoPict="0">
                <anchor moveWithCells="1">
                  <from>
                    <xdr:col>5</xdr:col>
                    <xdr:colOff>552450</xdr:colOff>
                    <xdr:row>29</xdr:row>
                    <xdr:rowOff>180975</xdr:rowOff>
                  </from>
                  <to>
                    <xdr:col>6</xdr:col>
                    <xdr:colOff>114300</xdr:colOff>
                    <xdr:row>31</xdr:row>
                    <xdr:rowOff>19050</xdr:rowOff>
                  </to>
                </anchor>
              </controlPr>
            </control>
          </mc:Choice>
        </mc:AlternateContent>
        <mc:AlternateContent xmlns:mc="http://schemas.openxmlformats.org/markup-compatibility/2006">
          <mc:Choice Requires="x14">
            <control shapeId="5425" r:id="rId210" name="Option Button 305">
              <controlPr defaultSize="0" autoFill="0" autoLine="0" autoPict="0">
                <anchor moveWithCells="1">
                  <from>
                    <xdr:col>8</xdr:col>
                    <xdr:colOff>542925</xdr:colOff>
                    <xdr:row>30</xdr:row>
                    <xdr:rowOff>0</xdr:rowOff>
                  </from>
                  <to>
                    <xdr:col>9</xdr:col>
                    <xdr:colOff>47625</xdr:colOff>
                    <xdr:row>31</xdr:row>
                    <xdr:rowOff>28575</xdr:rowOff>
                  </to>
                </anchor>
              </controlPr>
            </control>
          </mc:Choice>
        </mc:AlternateContent>
        <mc:AlternateContent xmlns:mc="http://schemas.openxmlformats.org/markup-compatibility/2006">
          <mc:Choice Requires="x14">
            <control shapeId="5426" r:id="rId211" name="Option Button 306">
              <controlPr defaultSize="0" autoFill="0" autoLine="0" autoPict="0">
                <anchor moveWithCells="1">
                  <from>
                    <xdr:col>3</xdr:col>
                    <xdr:colOff>609600</xdr:colOff>
                    <xdr:row>42</xdr:row>
                    <xdr:rowOff>161925</xdr:rowOff>
                  </from>
                  <to>
                    <xdr:col>4</xdr:col>
                    <xdr:colOff>200025</xdr:colOff>
                    <xdr:row>44</xdr:row>
                    <xdr:rowOff>9525</xdr:rowOff>
                  </to>
                </anchor>
              </controlPr>
            </control>
          </mc:Choice>
        </mc:AlternateContent>
        <mc:AlternateContent xmlns:mc="http://schemas.openxmlformats.org/markup-compatibility/2006">
          <mc:Choice Requires="x14">
            <control shapeId="5427" r:id="rId212" name="Group Box 307">
              <controlPr defaultSize="0" autoFill="0" autoPict="0">
                <anchor moveWithCells="1">
                  <from>
                    <xdr:col>0</xdr:col>
                    <xdr:colOff>219075</xdr:colOff>
                    <xdr:row>22</xdr:row>
                    <xdr:rowOff>123825</xdr:rowOff>
                  </from>
                  <to>
                    <xdr:col>8</xdr:col>
                    <xdr:colOff>85725</xdr:colOff>
                    <xdr:row>27</xdr:row>
                    <xdr:rowOff>38100</xdr:rowOff>
                  </to>
                </anchor>
              </controlPr>
            </control>
          </mc:Choice>
        </mc:AlternateContent>
        <mc:AlternateContent xmlns:mc="http://schemas.openxmlformats.org/markup-compatibility/2006">
          <mc:Choice Requires="x14">
            <control shapeId="5428" r:id="rId213" name="Group Box 308">
              <controlPr defaultSize="0" autoFill="0" autoPict="0">
                <anchor moveWithCells="1">
                  <from>
                    <xdr:col>0</xdr:col>
                    <xdr:colOff>238125</xdr:colOff>
                    <xdr:row>29</xdr:row>
                    <xdr:rowOff>171450</xdr:rowOff>
                  </from>
                  <to>
                    <xdr:col>10</xdr:col>
                    <xdr:colOff>438150</xdr:colOff>
                    <xdr:row>33</xdr:row>
                    <xdr:rowOff>104775</xdr:rowOff>
                  </to>
                </anchor>
              </controlPr>
            </control>
          </mc:Choice>
        </mc:AlternateContent>
        <mc:AlternateContent xmlns:mc="http://schemas.openxmlformats.org/markup-compatibility/2006">
          <mc:Choice Requires="x14">
            <control shapeId="5430" r:id="rId214" name="Option Button 310">
              <controlPr defaultSize="0" autoFill="0" autoLine="0" autoPict="0">
                <anchor moveWithCells="1">
                  <from>
                    <xdr:col>7</xdr:col>
                    <xdr:colOff>200025</xdr:colOff>
                    <xdr:row>42</xdr:row>
                    <xdr:rowOff>0</xdr:rowOff>
                  </from>
                  <to>
                    <xdr:col>7</xdr:col>
                    <xdr:colOff>447675</xdr:colOff>
                    <xdr:row>43</xdr:row>
                    <xdr:rowOff>28575</xdr:rowOff>
                  </to>
                </anchor>
              </controlPr>
            </control>
          </mc:Choice>
        </mc:AlternateContent>
        <mc:AlternateContent xmlns:mc="http://schemas.openxmlformats.org/markup-compatibility/2006">
          <mc:Choice Requires="x14">
            <control shapeId="5431" r:id="rId215" name="Option Button 311">
              <controlPr defaultSize="0" autoFill="0" autoLine="0" autoPict="0">
                <anchor moveWithCells="1">
                  <from>
                    <xdr:col>0</xdr:col>
                    <xdr:colOff>600075</xdr:colOff>
                    <xdr:row>18</xdr:row>
                    <xdr:rowOff>171450</xdr:rowOff>
                  </from>
                  <to>
                    <xdr:col>1</xdr:col>
                    <xdr:colOff>28575</xdr:colOff>
                    <xdr:row>20</xdr:row>
                    <xdr:rowOff>9525</xdr:rowOff>
                  </to>
                </anchor>
              </controlPr>
            </control>
          </mc:Choice>
        </mc:AlternateContent>
        <mc:AlternateContent xmlns:mc="http://schemas.openxmlformats.org/markup-compatibility/2006">
          <mc:Choice Requires="x14">
            <control shapeId="5432" r:id="rId216" name="Group Box 312">
              <controlPr defaultSize="0" autoFill="0" autoPict="0">
                <anchor moveWithCells="1">
                  <from>
                    <xdr:col>0</xdr:col>
                    <xdr:colOff>161925</xdr:colOff>
                    <xdr:row>13</xdr:row>
                    <xdr:rowOff>95250</xdr:rowOff>
                  </from>
                  <to>
                    <xdr:col>10</xdr:col>
                    <xdr:colOff>485775</xdr:colOff>
                    <xdr:row>23</xdr:row>
                    <xdr:rowOff>28575</xdr:rowOff>
                  </to>
                </anchor>
              </controlPr>
            </control>
          </mc:Choice>
        </mc:AlternateContent>
        <mc:AlternateContent xmlns:mc="http://schemas.openxmlformats.org/markup-compatibility/2006">
          <mc:Choice Requires="x14">
            <control shapeId="5433" r:id="rId217" name="Group Box 313">
              <controlPr defaultSize="0" autoFill="0" autoPict="0">
                <anchor moveWithCells="1">
                  <from>
                    <xdr:col>2</xdr:col>
                    <xdr:colOff>66675</xdr:colOff>
                    <xdr:row>11</xdr:row>
                    <xdr:rowOff>47625</xdr:rowOff>
                  </from>
                  <to>
                    <xdr:col>6</xdr:col>
                    <xdr:colOff>304800</xdr:colOff>
                    <xdr:row>13</xdr:row>
                    <xdr:rowOff>47625</xdr:rowOff>
                  </to>
                </anchor>
              </controlPr>
            </control>
          </mc:Choice>
        </mc:AlternateContent>
        <mc:AlternateContent xmlns:mc="http://schemas.openxmlformats.org/markup-compatibility/2006">
          <mc:Choice Requires="x14">
            <control shapeId="5435" r:id="rId218" name="Option Button 315">
              <controlPr defaultSize="0" autoFill="0" autoLine="0" autoPict="0">
                <anchor moveWithCells="1">
                  <from>
                    <xdr:col>0</xdr:col>
                    <xdr:colOff>619125</xdr:colOff>
                    <xdr:row>62</xdr:row>
                    <xdr:rowOff>171450</xdr:rowOff>
                  </from>
                  <to>
                    <xdr:col>1</xdr:col>
                    <xdr:colOff>66675</xdr:colOff>
                    <xdr:row>64</xdr:row>
                    <xdr:rowOff>19050</xdr:rowOff>
                  </to>
                </anchor>
              </controlPr>
            </control>
          </mc:Choice>
        </mc:AlternateContent>
        <mc:AlternateContent xmlns:mc="http://schemas.openxmlformats.org/markup-compatibility/2006">
          <mc:Choice Requires="x14">
            <control shapeId="5436" r:id="rId219" name="Option Button 316">
              <controlPr defaultSize="0" autoFill="0" autoLine="0" autoPict="0">
                <anchor moveWithCells="1">
                  <from>
                    <xdr:col>4</xdr:col>
                    <xdr:colOff>0</xdr:colOff>
                    <xdr:row>78</xdr:row>
                    <xdr:rowOff>180975</xdr:rowOff>
                  </from>
                  <to>
                    <xdr:col>4</xdr:col>
                    <xdr:colOff>219075</xdr:colOff>
                    <xdr:row>80</xdr:row>
                    <xdr:rowOff>57150</xdr:rowOff>
                  </to>
                </anchor>
              </controlPr>
            </control>
          </mc:Choice>
        </mc:AlternateContent>
        <mc:AlternateContent xmlns:mc="http://schemas.openxmlformats.org/markup-compatibility/2006">
          <mc:Choice Requires="x14">
            <control shapeId="5437" r:id="rId220" name="Option Button 317">
              <controlPr defaultSize="0" autoFill="0" autoLine="0" autoPict="0">
                <anchor moveWithCells="1">
                  <from>
                    <xdr:col>8</xdr:col>
                    <xdr:colOff>28575</xdr:colOff>
                    <xdr:row>112</xdr:row>
                    <xdr:rowOff>180975</xdr:rowOff>
                  </from>
                  <to>
                    <xdr:col>8</xdr:col>
                    <xdr:colOff>257175</xdr:colOff>
                    <xdr:row>114</xdr:row>
                    <xdr:rowOff>38100</xdr:rowOff>
                  </to>
                </anchor>
              </controlPr>
            </control>
          </mc:Choice>
        </mc:AlternateContent>
        <mc:AlternateContent xmlns:mc="http://schemas.openxmlformats.org/markup-compatibility/2006">
          <mc:Choice Requires="x14">
            <control shapeId="5438" r:id="rId221" name="Option Button 318">
              <controlPr defaultSize="0" autoFill="0" autoLine="0" autoPict="0">
                <anchor moveWithCells="1">
                  <from>
                    <xdr:col>8</xdr:col>
                    <xdr:colOff>38100</xdr:colOff>
                    <xdr:row>114</xdr:row>
                    <xdr:rowOff>9525</xdr:rowOff>
                  </from>
                  <to>
                    <xdr:col>8</xdr:col>
                    <xdr:colOff>266700</xdr:colOff>
                    <xdr:row>115</xdr:row>
                    <xdr:rowOff>38100</xdr:rowOff>
                  </to>
                </anchor>
              </controlPr>
            </control>
          </mc:Choice>
        </mc:AlternateContent>
        <mc:AlternateContent xmlns:mc="http://schemas.openxmlformats.org/markup-compatibility/2006">
          <mc:Choice Requires="x14">
            <control shapeId="5439" r:id="rId222" name="Option Button 319">
              <controlPr defaultSize="0" autoFill="0" autoLine="0" autoPict="0">
                <anchor moveWithCells="1">
                  <from>
                    <xdr:col>4</xdr:col>
                    <xdr:colOff>476250</xdr:colOff>
                    <xdr:row>128</xdr:row>
                    <xdr:rowOff>19050</xdr:rowOff>
                  </from>
                  <to>
                    <xdr:col>5</xdr:col>
                    <xdr:colOff>47625</xdr:colOff>
                    <xdr:row>129</xdr:row>
                    <xdr:rowOff>57150</xdr:rowOff>
                  </to>
                </anchor>
              </controlPr>
            </control>
          </mc:Choice>
        </mc:AlternateContent>
        <mc:AlternateContent xmlns:mc="http://schemas.openxmlformats.org/markup-compatibility/2006">
          <mc:Choice Requires="x14">
            <control shapeId="5440" r:id="rId223" name="Option Button 320">
              <controlPr defaultSize="0" autoFill="0" autoLine="0" autoPict="0">
                <anchor moveWithCells="1">
                  <from>
                    <xdr:col>4</xdr:col>
                    <xdr:colOff>476250</xdr:colOff>
                    <xdr:row>127</xdr:row>
                    <xdr:rowOff>19050</xdr:rowOff>
                  </from>
                  <to>
                    <xdr:col>5</xdr:col>
                    <xdr:colOff>47625</xdr:colOff>
                    <xdr:row>128</xdr:row>
                    <xdr:rowOff>28575</xdr:rowOff>
                  </to>
                </anchor>
              </controlPr>
            </control>
          </mc:Choice>
        </mc:AlternateContent>
        <mc:AlternateContent xmlns:mc="http://schemas.openxmlformats.org/markup-compatibility/2006">
          <mc:Choice Requires="x14">
            <control shapeId="5441" r:id="rId224" name="Check Box 321">
              <controlPr defaultSize="0" autoFill="0" autoLine="0" autoPict="0">
                <anchor moveWithCells="1">
                  <from>
                    <xdr:col>5</xdr:col>
                    <xdr:colOff>476250</xdr:colOff>
                    <xdr:row>127</xdr:row>
                    <xdr:rowOff>9525</xdr:rowOff>
                  </from>
                  <to>
                    <xdr:col>6</xdr:col>
                    <xdr:colOff>47625</xdr:colOff>
                    <xdr:row>128</xdr:row>
                    <xdr:rowOff>28575</xdr:rowOff>
                  </to>
                </anchor>
              </controlPr>
            </control>
          </mc:Choice>
        </mc:AlternateContent>
        <mc:AlternateContent xmlns:mc="http://schemas.openxmlformats.org/markup-compatibility/2006">
          <mc:Choice Requires="x14">
            <control shapeId="5443" r:id="rId225" name="Option Button 32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444" r:id="rId226" name="Option Button 32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447" r:id="rId227" name="Group Box 327">
              <controlPr defaultSize="0" autoFill="0" autoPict="0">
                <anchor moveWithCells="1">
                  <from>
                    <xdr:col>6</xdr:col>
                    <xdr:colOff>619125</xdr:colOff>
                    <xdr:row>135</xdr:row>
                    <xdr:rowOff>76200</xdr:rowOff>
                  </from>
                  <to>
                    <xdr:col>10</xdr:col>
                    <xdr:colOff>85725</xdr:colOff>
                    <xdr:row>145</xdr:row>
                    <xdr:rowOff>95250</xdr:rowOff>
                  </to>
                </anchor>
              </controlPr>
            </control>
          </mc:Choice>
        </mc:AlternateContent>
        <mc:AlternateContent xmlns:mc="http://schemas.openxmlformats.org/markup-compatibility/2006">
          <mc:Choice Requires="x14">
            <control shapeId="5448" r:id="rId228" name="Option Button 328">
              <controlPr defaultSize="0" autoFill="0" autoLine="0" autoPict="0">
                <anchor moveWithCells="1">
                  <from>
                    <xdr:col>7</xdr:col>
                    <xdr:colOff>371475</xdr:colOff>
                    <xdr:row>135</xdr:row>
                    <xdr:rowOff>180975</xdr:rowOff>
                  </from>
                  <to>
                    <xdr:col>7</xdr:col>
                    <xdr:colOff>619125</xdr:colOff>
                    <xdr:row>137</xdr:row>
                    <xdr:rowOff>28575</xdr:rowOff>
                  </to>
                </anchor>
              </controlPr>
            </control>
          </mc:Choice>
        </mc:AlternateContent>
        <mc:AlternateContent xmlns:mc="http://schemas.openxmlformats.org/markup-compatibility/2006">
          <mc:Choice Requires="x14">
            <control shapeId="5449" r:id="rId229" name="Option Button 329">
              <controlPr defaultSize="0" autoFill="0" autoLine="0" autoPict="0">
                <anchor moveWithCells="1">
                  <from>
                    <xdr:col>7</xdr:col>
                    <xdr:colOff>381000</xdr:colOff>
                    <xdr:row>136</xdr:row>
                    <xdr:rowOff>190500</xdr:rowOff>
                  </from>
                  <to>
                    <xdr:col>7</xdr:col>
                    <xdr:colOff>619125</xdr:colOff>
                    <xdr:row>138</xdr:row>
                    <xdr:rowOff>38100</xdr:rowOff>
                  </to>
                </anchor>
              </controlPr>
            </control>
          </mc:Choice>
        </mc:AlternateContent>
        <mc:AlternateContent xmlns:mc="http://schemas.openxmlformats.org/markup-compatibility/2006">
          <mc:Choice Requires="x14">
            <control shapeId="5450" r:id="rId230" name="Option Button 330">
              <controlPr defaultSize="0" autoFill="0" autoLine="0" autoPict="0">
                <anchor moveWithCells="1">
                  <from>
                    <xdr:col>7</xdr:col>
                    <xdr:colOff>390525</xdr:colOff>
                    <xdr:row>138</xdr:row>
                    <xdr:rowOff>0</xdr:rowOff>
                  </from>
                  <to>
                    <xdr:col>7</xdr:col>
                    <xdr:colOff>628650</xdr:colOff>
                    <xdr:row>139</xdr:row>
                    <xdr:rowOff>28575</xdr:rowOff>
                  </to>
                </anchor>
              </controlPr>
            </control>
          </mc:Choice>
        </mc:AlternateContent>
        <mc:AlternateContent xmlns:mc="http://schemas.openxmlformats.org/markup-compatibility/2006">
          <mc:Choice Requires="x14">
            <control shapeId="5451" r:id="rId231" name="Option Button 331">
              <controlPr defaultSize="0" autoFill="0" autoLine="0" autoPict="0">
                <anchor moveWithCells="1">
                  <from>
                    <xdr:col>7</xdr:col>
                    <xdr:colOff>390525</xdr:colOff>
                    <xdr:row>139</xdr:row>
                    <xdr:rowOff>0</xdr:rowOff>
                  </from>
                  <to>
                    <xdr:col>7</xdr:col>
                    <xdr:colOff>628650</xdr:colOff>
                    <xdr:row>140</xdr:row>
                    <xdr:rowOff>28575</xdr:rowOff>
                  </to>
                </anchor>
              </controlPr>
            </control>
          </mc:Choice>
        </mc:AlternateContent>
        <mc:AlternateContent xmlns:mc="http://schemas.openxmlformats.org/markup-compatibility/2006">
          <mc:Choice Requires="x14">
            <control shapeId="5452" r:id="rId232" name="Option Button 332">
              <controlPr defaultSize="0" autoFill="0" autoLine="0" autoPict="0">
                <anchor moveWithCells="1">
                  <from>
                    <xdr:col>7</xdr:col>
                    <xdr:colOff>390525</xdr:colOff>
                    <xdr:row>140</xdr:row>
                    <xdr:rowOff>28575</xdr:rowOff>
                  </from>
                  <to>
                    <xdr:col>7</xdr:col>
                    <xdr:colOff>628650</xdr:colOff>
                    <xdr:row>141</xdr:row>
                    <xdr:rowOff>66675</xdr:rowOff>
                  </to>
                </anchor>
              </controlPr>
            </control>
          </mc:Choice>
        </mc:AlternateContent>
        <mc:AlternateContent xmlns:mc="http://schemas.openxmlformats.org/markup-compatibility/2006">
          <mc:Choice Requires="x14">
            <control shapeId="5453" r:id="rId233" name="Option Button 333">
              <controlPr defaultSize="0" autoFill="0" autoLine="0" autoPict="0">
                <anchor moveWithCells="1">
                  <from>
                    <xdr:col>3</xdr:col>
                    <xdr:colOff>628650</xdr:colOff>
                    <xdr:row>85</xdr:row>
                    <xdr:rowOff>171450</xdr:rowOff>
                  </from>
                  <to>
                    <xdr:col>4</xdr:col>
                    <xdr:colOff>180975</xdr:colOff>
                    <xdr:row>87</xdr:row>
                    <xdr:rowOff>9525</xdr:rowOff>
                  </to>
                </anchor>
              </controlPr>
            </control>
          </mc:Choice>
        </mc:AlternateContent>
        <mc:AlternateContent xmlns:mc="http://schemas.openxmlformats.org/markup-compatibility/2006">
          <mc:Choice Requires="x14">
            <control shapeId="5454" r:id="rId234" name="Option Button 334">
              <controlPr defaultSize="0" autoFill="0" autoLine="0" autoPict="0">
                <anchor moveWithCells="1">
                  <from>
                    <xdr:col>3</xdr:col>
                    <xdr:colOff>638175</xdr:colOff>
                    <xdr:row>87</xdr:row>
                    <xdr:rowOff>0</xdr:rowOff>
                  </from>
                  <to>
                    <xdr:col>4</xdr:col>
                    <xdr:colOff>190500</xdr:colOff>
                    <xdr:row>88</xdr:row>
                    <xdr:rowOff>19050</xdr:rowOff>
                  </to>
                </anchor>
              </controlPr>
            </control>
          </mc:Choice>
        </mc:AlternateContent>
        <mc:AlternateContent xmlns:mc="http://schemas.openxmlformats.org/markup-compatibility/2006">
          <mc:Choice Requires="x14">
            <control shapeId="5455" r:id="rId235" name="Option Button 335">
              <controlPr defaultSize="0" autoFill="0" autoLine="0" autoPict="0">
                <anchor moveWithCells="1">
                  <from>
                    <xdr:col>3</xdr:col>
                    <xdr:colOff>628650</xdr:colOff>
                    <xdr:row>87</xdr:row>
                    <xdr:rowOff>0</xdr:rowOff>
                  </from>
                  <to>
                    <xdr:col>4</xdr:col>
                    <xdr:colOff>180975</xdr:colOff>
                    <xdr:row>88</xdr:row>
                    <xdr:rowOff>19050</xdr:rowOff>
                  </to>
                </anchor>
              </controlPr>
            </control>
          </mc:Choice>
        </mc:AlternateContent>
        <mc:AlternateContent xmlns:mc="http://schemas.openxmlformats.org/markup-compatibility/2006">
          <mc:Choice Requires="x14">
            <control shapeId="5456" r:id="rId236" name="Check Box 336">
              <controlPr defaultSize="0" autoFill="0" autoLine="0" autoPict="0">
                <anchor moveWithCells="1">
                  <from>
                    <xdr:col>0</xdr:col>
                    <xdr:colOff>600075</xdr:colOff>
                    <xdr:row>134</xdr:row>
                    <xdr:rowOff>190500</xdr:rowOff>
                  </from>
                  <to>
                    <xdr:col>1</xdr:col>
                    <xdr:colOff>19050</xdr:colOff>
                    <xdr:row>136</xdr:row>
                    <xdr:rowOff>19050</xdr:rowOff>
                  </to>
                </anchor>
              </controlPr>
            </control>
          </mc:Choice>
        </mc:AlternateContent>
        <mc:AlternateContent xmlns:mc="http://schemas.openxmlformats.org/markup-compatibility/2006">
          <mc:Choice Requires="x14">
            <control shapeId="5462" r:id="rId237" name="Option Button 342">
              <controlPr defaultSize="0" autoFill="0" autoLine="0" autoPict="0">
                <anchor moveWithCells="1">
                  <from>
                    <xdr:col>0</xdr:col>
                    <xdr:colOff>600075</xdr:colOff>
                    <xdr:row>51</xdr:row>
                    <xdr:rowOff>171450</xdr:rowOff>
                  </from>
                  <to>
                    <xdr:col>1</xdr:col>
                    <xdr:colOff>28575</xdr:colOff>
                    <xdr:row>53</xdr:row>
                    <xdr:rowOff>9525</xdr:rowOff>
                  </to>
                </anchor>
              </controlPr>
            </control>
          </mc:Choice>
        </mc:AlternateContent>
        <mc:AlternateContent xmlns:mc="http://schemas.openxmlformats.org/markup-compatibility/2006">
          <mc:Choice Requires="x14">
            <control shapeId="5470" r:id="rId238" name="Option Button 350">
              <controlPr defaultSize="0" autoFill="0" autoLine="0" autoPict="0">
                <anchor moveWithCells="1">
                  <from>
                    <xdr:col>3</xdr:col>
                    <xdr:colOff>590550</xdr:colOff>
                    <xdr:row>62</xdr:row>
                    <xdr:rowOff>180975</xdr:rowOff>
                  </from>
                  <to>
                    <xdr:col>4</xdr:col>
                    <xdr:colOff>180975</xdr:colOff>
                    <xdr:row>64</xdr:row>
                    <xdr:rowOff>28575</xdr:rowOff>
                  </to>
                </anchor>
              </controlPr>
            </control>
          </mc:Choice>
        </mc:AlternateContent>
        <mc:AlternateContent xmlns:mc="http://schemas.openxmlformats.org/markup-compatibility/2006">
          <mc:Choice Requires="x14">
            <control shapeId="5471" r:id="rId239" name="Option Button 351">
              <controlPr defaultSize="0" autoFill="0" autoLine="0" autoPict="0">
                <anchor moveWithCells="1">
                  <from>
                    <xdr:col>0</xdr:col>
                    <xdr:colOff>619125</xdr:colOff>
                    <xdr:row>64</xdr:row>
                    <xdr:rowOff>190500</xdr:rowOff>
                  </from>
                  <to>
                    <xdr:col>1</xdr:col>
                    <xdr:colOff>66675</xdr:colOff>
                    <xdr:row>66</xdr:row>
                    <xdr:rowOff>9525</xdr:rowOff>
                  </to>
                </anchor>
              </controlPr>
            </control>
          </mc:Choice>
        </mc:AlternateContent>
        <mc:AlternateContent xmlns:mc="http://schemas.openxmlformats.org/markup-compatibility/2006">
          <mc:Choice Requires="x14">
            <control shapeId="5472" r:id="rId240" name="Option Button 352">
              <controlPr defaultSize="0" autoFill="0" autoLine="0" autoPict="0">
                <anchor moveWithCells="1">
                  <from>
                    <xdr:col>0</xdr:col>
                    <xdr:colOff>619125</xdr:colOff>
                    <xdr:row>68</xdr:row>
                    <xdr:rowOff>19050</xdr:rowOff>
                  </from>
                  <to>
                    <xdr:col>1</xdr:col>
                    <xdr:colOff>47625</xdr:colOff>
                    <xdr:row>69</xdr:row>
                    <xdr:rowOff>57150</xdr:rowOff>
                  </to>
                </anchor>
              </controlPr>
            </control>
          </mc:Choice>
        </mc:AlternateContent>
        <mc:AlternateContent xmlns:mc="http://schemas.openxmlformats.org/markup-compatibility/2006">
          <mc:Choice Requires="x14">
            <control shapeId="5474" r:id="rId241" name="Option Button 354">
              <controlPr defaultSize="0" autoFill="0" autoLine="0" autoPict="0">
                <anchor moveWithCells="1">
                  <from>
                    <xdr:col>0</xdr:col>
                    <xdr:colOff>609600</xdr:colOff>
                    <xdr:row>71</xdr:row>
                    <xdr:rowOff>190500</xdr:rowOff>
                  </from>
                  <to>
                    <xdr:col>1</xdr:col>
                    <xdr:colOff>28575</xdr:colOff>
                    <xdr:row>73</xdr:row>
                    <xdr:rowOff>38100</xdr:rowOff>
                  </to>
                </anchor>
              </controlPr>
            </control>
          </mc:Choice>
        </mc:AlternateContent>
        <mc:AlternateContent xmlns:mc="http://schemas.openxmlformats.org/markup-compatibility/2006">
          <mc:Choice Requires="x14">
            <control shapeId="5476" r:id="rId242" name="Option Button 356">
              <controlPr defaultSize="0" autoFill="0" autoLine="0" autoPict="0">
                <anchor moveWithCells="1">
                  <from>
                    <xdr:col>0</xdr:col>
                    <xdr:colOff>609600</xdr:colOff>
                    <xdr:row>95</xdr:row>
                    <xdr:rowOff>171450</xdr:rowOff>
                  </from>
                  <to>
                    <xdr:col>1</xdr:col>
                    <xdr:colOff>28575</xdr:colOff>
                    <xdr:row>97</xdr:row>
                    <xdr:rowOff>19050</xdr:rowOff>
                  </to>
                </anchor>
              </controlPr>
            </control>
          </mc:Choice>
        </mc:AlternateContent>
        <mc:AlternateContent xmlns:mc="http://schemas.openxmlformats.org/markup-compatibility/2006">
          <mc:Choice Requires="x14">
            <control shapeId="5477" r:id="rId243" name="Check Box 357">
              <controlPr defaultSize="0" autoFill="0" autoLine="0" autoPict="0">
                <anchor moveWithCells="1">
                  <from>
                    <xdr:col>4</xdr:col>
                    <xdr:colOff>571500</xdr:colOff>
                    <xdr:row>137</xdr:row>
                    <xdr:rowOff>142875</xdr:rowOff>
                  </from>
                  <to>
                    <xdr:col>5</xdr:col>
                    <xdr:colOff>161925</xdr:colOff>
                    <xdr:row>138</xdr:row>
                    <xdr:rowOff>171450</xdr:rowOff>
                  </to>
                </anchor>
              </controlPr>
            </control>
          </mc:Choice>
        </mc:AlternateContent>
        <mc:AlternateContent xmlns:mc="http://schemas.openxmlformats.org/markup-compatibility/2006">
          <mc:Choice Requires="x14">
            <control shapeId="5651" r:id="rId244" name="Option Button 531">
              <controlPr defaultSize="0" autoFill="0" autoLine="0" autoPict="0">
                <anchor moveWithCells="1">
                  <from>
                    <xdr:col>0</xdr:col>
                    <xdr:colOff>609600</xdr:colOff>
                    <xdr:row>31</xdr:row>
                    <xdr:rowOff>180975</xdr:rowOff>
                  </from>
                  <to>
                    <xdr:col>1</xdr:col>
                    <xdr:colOff>47625</xdr:colOff>
                    <xdr:row>33</xdr:row>
                    <xdr:rowOff>19050</xdr:rowOff>
                  </to>
                </anchor>
              </controlPr>
            </control>
          </mc:Choice>
        </mc:AlternateContent>
        <mc:AlternateContent xmlns:mc="http://schemas.openxmlformats.org/markup-compatibility/2006">
          <mc:Choice Requires="x14">
            <control shapeId="5652" r:id="rId245" name="Group Box 532">
              <controlPr defaultSize="0" autoFill="0" autoPict="0">
                <anchor moveWithCells="1">
                  <from>
                    <xdr:col>0</xdr:col>
                    <xdr:colOff>161925</xdr:colOff>
                    <xdr:row>35</xdr:row>
                    <xdr:rowOff>28575</xdr:rowOff>
                  </from>
                  <to>
                    <xdr:col>10</xdr:col>
                    <xdr:colOff>66675</xdr:colOff>
                    <xdr:row>38</xdr:row>
                    <xdr:rowOff>152400</xdr:rowOff>
                  </to>
                </anchor>
              </controlPr>
            </control>
          </mc:Choice>
        </mc:AlternateContent>
        <mc:AlternateContent xmlns:mc="http://schemas.openxmlformats.org/markup-compatibility/2006">
          <mc:Choice Requires="x14">
            <control shapeId="5653" r:id="rId246" name="Option Button 533">
              <controlPr defaultSize="0" autoFill="0" autoLine="0" autoPict="0">
                <anchor moveWithCells="1">
                  <from>
                    <xdr:col>0</xdr:col>
                    <xdr:colOff>590550</xdr:colOff>
                    <xdr:row>37</xdr:row>
                    <xdr:rowOff>9525</xdr:rowOff>
                  </from>
                  <to>
                    <xdr:col>1</xdr:col>
                    <xdr:colOff>19050</xdr:colOff>
                    <xdr:row>38</xdr:row>
                    <xdr:rowOff>38100</xdr:rowOff>
                  </to>
                </anchor>
              </controlPr>
            </control>
          </mc:Choice>
        </mc:AlternateContent>
        <mc:AlternateContent xmlns:mc="http://schemas.openxmlformats.org/markup-compatibility/2006">
          <mc:Choice Requires="x14">
            <control shapeId="5654" r:id="rId247" name="Option Button 534">
              <controlPr defaultSize="0" autoFill="0" autoLine="0" autoPict="0">
                <anchor moveWithCells="1">
                  <from>
                    <xdr:col>3</xdr:col>
                    <xdr:colOff>600075</xdr:colOff>
                    <xdr:row>35</xdr:row>
                    <xdr:rowOff>180975</xdr:rowOff>
                  </from>
                  <to>
                    <xdr:col>4</xdr:col>
                    <xdr:colOff>180975</xdr:colOff>
                    <xdr:row>37</xdr:row>
                    <xdr:rowOff>19050</xdr:rowOff>
                  </to>
                </anchor>
              </controlPr>
            </control>
          </mc:Choice>
        </mc:AlternateContent>
        <mc:AlternateContent xmlns:mc="http://schemas.openxmlformats.org/markup-compatibility/2006">
          <mc:Choice Requires="x14">
            <control shapeId="5655" r:id="rId248" name="Option Button 535">
              <controlPr defaultSize="0" autoFill="0" autoLine="0" autoPict="0">
                <anchor moveWithCells="1">
                  <from>
                    <xdr:col>4</xdr:col>
                    <xdr:colOff>561975</xdr:colOff>
                    <xdr:row>35</xdr:row>
                    <xdr:rowOff>180975</xdr:rowOff>
                  </from>
                  <to>
                    <xdr:col>5</xdr:col>
                    <xdr:colOff>152400</xdr:colOff>
                    <xdr:row>37</xdr:row>
                    <xdr:rowOff>19050</xdr:rowOff>
                  </to>
                </anchor>
              </controlPr>
            </control>
          </mc:Choice>
        </mc:AlternateContent>
        <mc:AlternateContent xmlns:mc="http://schemas.openxmlformats.org/markup-compatibility/2006">
          <mc:Choice Requires="x14">
            <control shapeId="5656" r:id="rId249" name="Option Button 536">
              <controlPr defaultSize="0" autoFill="0" autoLine="0" autoPict="0">
                <anchor moveWithCells="1">
                  <from>
                    <xdr:col>5</xdr:col>
                    <xdr:colOff>581025</xdr:colOff>
                    <xdr:row>35</xdr:row>
                    <xdr:rowOff>180975</xdr:rowOff>
                  </from>
                  <to>
                    <xdr:col>6</xdr:col>
                    <xdr:colOff>161925</xdr:colOff>
                    <xdr:row>37</xdr:row>
                    <xdr:rowOff>19050</xdr:rowOff>
                  </to>
                </anchor>
              </controlPr>
            </control>
          </mc:Choice>
        </mc:AlternateContent>
        <mc:AlternateContent xmlns:mc="http://schemas.openxmlformats.org/markup-compatibility/2006">
          <mc:Choice Requires="x14">
            <control shapeId="5657" r:id="rId250" name="Option Button 537">
              <controlPr defaultSize="0" autoFill="0" autoLine="0" autoPict="0">
                <anchor moveWithCells="1">
                  <from>
                    <xdr:col>6</xdr:col>
                    <xdr:colOff>628650</xdr:colOff>
                    <xdr:row>35</xdr:row>
                    <xdr:rowOff>180975</xdr:rowOff>
                  </from>
                  <to>
                    <xdr:col>7</xdr:col>
                    <xdr:colOff>219075</xdr:colOff>
                    <xdr:row>37</xdr:row>
                    <xdr:rowOff>19050</xdr:rowOff>
                  </to>
                </anchor>
              </controlPr>
            </control>
          </mc:Choice>
        </mc:AlternateContent>
        <mc:AlternateContent xmlns:mc="http://schemas.openxmlformats.org/markup-compatibility/2006">
          <mc:Choice Requires="x14">
            <control shapeId="5659" r:id="rId251" name="Option Button 539">
              <controlPr defaultSize="0" autoFill="0" autoLine="0" autoPict="0">
                <anchor moveWithCells="1">
                  <from>
                    <xdr:col>0</xdr:col>
                    <xdr:colOff>590550</xdr:colOff>
                    <xdr:row>111</xdr:row>
                    <xdr:rowOff>190500</xdr:rowOff>
                  </from>
                  <to>
                    <xdr:col>1</xdr:col>
                    <xdr:colOff>28575</xdr:colOff>
                    <xdr:row>113</xdr:row>
                    <xdr:rowOff>28575</xdr:rowOff>
                  </to>
                </anchor>
              </controlPr>
            </control>
          </mc:Choice>
        </mc:AlternateContent>
        <mc:AlternateContent xmlns:mc="http://schemas.openxmlformats.org/markup-compatibility/2006">
          <mc:Choice Requires="x14">
            <control shapeId="5660" r:id="rId252" name="Option Button 540">
              <controlPr defaultSize="0" autoFill="0" autoLine="0" autoPict="0">
                <anchor moveWithCells="1">
                  <from>
                    <xdr:col>0</xdr:col>
                    <xdr:colOff>590550</xdr:colOff>
                    <xdr:row>115</xdr:row>
                    <xdr:rowOff>171450</xdr:rowOff>
                  </from>
                  <to>
                    <xdr:col>1</xdr:col>
                    <xdr:colOff>28575</xdr:colOff>
                    <xdr:row>117</xdr:row>
                    <xdr:rowOff>19050</xdr:rowOff>
                  </to>
                </anchor>
              </controlPr>
            </control>
          </mc:Choice>
        </mc:AlternateContent>
        <mc:AlternateContent xmlns:mc="http://schemas.openxmlformats.org/markup-compatibility/2006">
          <mc:Choice Requires="x14">
            <control shapeId="5672" r:id="rId253" name="Check Box 552">
              <controlPr defaultSize="0" autoFill="0" autoLine="0" autoPict="0">
                <anchor moveWithCells="1">
                  <from>
                    <xdr:col>4</xdr:col>
                    <xdr:colOff>638175</xdr:colOff>
                    <xdr:row>159</xdr:row>
                    <xdr:rowOff>190500</xdr:rowOff>
                  </from>
                  <to>
                    <xdr:col>5</xdr:col>
                    <xdr:colOff>180975</xdr:colOff>
                    <xdr:row>161</xdr:row>
                    <xdr:rowOff>19050</xdr:rowOff>
                  </to>
                </anchor>
              </controlPr>
            </control>
          </mc:Choice>
        </mc:AlternateContent>
        <mc:AlternateContent xmlns:mc="http://schemas.openxmlformats.org/markup-compatibility/2006">
          <mc:Choice Requires="x14">
            <control shapeId="5679" r:id="rId254" name="Option Button 559">
              <controlPr defaultSize="0" autoFill="0" autoLine="0" autoPict="0">
                <anchor moveWithCells="1">
                  <from>
                    <xdr:col>4</xdr:col>
                    <xdr:colOff>66675</xdr:colOff>
                    <xdr:row>19</xdr:row>
                    <xdr:rowOff>9525</xdr:rowOff>
                  </from>
                  <to>
                    <xdr:col>4</xdr:col>
                    <xdr:colOff>276225</xdr:colOff>
                    <xdr:row>19</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6E8EB0A0-4566-4979-AA4E-74F9C433AB81}">
          <x14:formula1>
            <xm:f>Weights!$E$156:$E$161</xm:f>
          </x14:formula1>
          <xm:sqref>C146:E146</xm:sqref>
        </x14:dataValidation>
        <x14:dataValidation type="list" allowBlank="1" showInputMessage="1" showErrorMessage="1" xr:uid="{74E8A0AE-D4CC-44CB-A3A0-69EFC670C80F}">
          <x14:formula1>
            <xm:f>Weights!$B$156:$B$161</xm:f>
          </x14:formula1>
          <xm:sqref>J60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F94B9-6A57-4C86-83A8-05FB75AE42CD}">
  <sheetPr codeName="Sheet4"/>
  <dimension ref="A1:X573"/>
  <sheetViews>
    <sheetView zoomScaleNormal="100" workbookViewId="0">
      <pane ySplit="1" topLeftCell="A122" activePane="bottomLeft" state="frozen"/>
      <selection activeCell="D142" sqref="D142"/>
      <selection pane="bottomLeft" activeCell="L138" sqref="L138"/>
    </sheetView>
  </sheetViews>
  <sheetFormatPr defaultRowHeight="15.75" x14ac:dyDescent="0.25"/>
  <cols>
    <col min="1" max="1" width="29.140625" customWidth="1"/>
    <col min="2" max="2" width="15.7109375" customWidth="1"/>
    <col min="3" max="3" width="10.85546875" style="37" bestFit="1" customWidth="1"/>
    <col min="4" max="4" width="9.140625" style="117"/>
    <col min="5" max="5" width="13.85546875" style="2" bestFit="1" customWidth="1"/>
    <col min="6" max="6" width="7.7109375" style="437" customWidth="1"/>
    <col min="7" max="7" width="22.5703125" style="64" customWidth="1"/>
    <col min="9" max="9" width="7.7109375" customWidth="1"/>
  </cols>
  <sheetData>
    <row r="1" spans="1:16" x14ac:dyDescent="0.25">
      <c r="B1" s="34" t="s">
        <v>51</v>
      </c>
      <c r="C1" s="273"/>
      <c r="D1" s="535" t="s">
        <v>155</v>
      </c>
      <c r="E1" s="110" t="s">
        <v>52</v>
      </c>
      <c r="F1" s="427" t="s">
        <v>65</v>
      </c>
      <c r="H1" s="162"/>
      <c r="I1" s="162" t="s">
        <v>69</v>
      </c>
      <c r="J1" s="162"/>
      <c r="K1" s="746"/>
      <c r="L1" s="162"/>
      <c r="M1" s="162"/>
      <c r="N1" s="162"/>
      <c r="O1" s="162"/>
      <c r="P1" s="162"/>
    </row>
    <row r="2" spans="1:16" x14ac:dyDescent="0.25">
      <c r="A2" s="200" t="s">
        <v>70</v>
      </c>
      <c r="B2" s="201"/>
      <c r="C2" s="274"/>
      <c r="D2" s="202"/>
      <c r="E2" s="203"/>
      <c r="F2" s="428">
        <v>5</v>
      </c>
      <c r="H2">
        <v>2</v>
      </c>
      <c r="I2" s="192">
        <v>27</v>
      </c>
      <c r="J2" s="193">
        <v>30</v>
      </c>
      <c r="K2" s="193">
        <v>33</v>
      </c>
      <c r="L2" s="193">
        <v>36</v>
      </c>
      <c r="M2" s="193">
        <v>39</v>
      </c>
      <c r="N2" s="193">
        <v>42</v>
      </c>
      <c r="O2" s="193">
        <v>45</v>
      </c>
      <c r="P2" s="194">
        <v>50</v>
      </c>
    </row>
    <row r="3" spans="1:16" x14ac:dyDescent="0.25">
      <c r="A3" s="208" t="str">
        <f>Language!B520</f>
        <v xml:space="preserve">  U3</v>
      </c>
      <c r="B3" s="209" cm="1">
        <f t="array" ref="B3">_xlfn.SWITCH(F16,1,(K3),2,(L3),3,(N3),4,(O3),5,(M3),6,(0),7,(0),8,(P3),9,(" "),)</f>
        <v>0</v>
      </c>
      <c r="C3" s="783">
        <v>1</v>
      </c>
      <c r="D3" s="731">
        <v>3676</v>
      </c>
      <c r="E3" s="211" t="str">
        <f>551&amp;G24&amp;G4&amp;G4&amp;G14</f>
        <v xml:space="preserve">55100 </v>
      </c>
      <c r="F3" s="429"/>
      <c r="G3" s="717" t="str" cm="1">
        <f t="array" ref="G3">_xlfn.SWITCH(F2,1,(A3),2,(A5),3,(A6),4,(A4),5,(""),6,(A8),7,(A9),8,(0),9,(" "),)</f>
        <v/>
      </c>
      <c r="H3" s="212" t="s">
        <v>125</v>
      </c>
      <c r="I3" s="213"/>
      <c r="J3" s="209"/>
      <c r="K3" s="209">
        <v>2000</v>
      </c>
      <c r="L3" s="209">
        <v>2174</v>
      </c>
      <c r="M3" s="209">
        <v>2248</v>
      </c>
      <c r="N3" s="209">
        <v>2372</v>
      </c>
      <c r="O3" s="209">
        <v>2556</v>
      </c>
      <c r="P3" s="214"/>
    </row>
    <row r="4" spans="1:16" x14ac:dyDescent="0.25">
      <c r="A4" s="208" t="str">
        <f>Language!B521</f>
        <v xml:space="preserve">  U3 Y-Front</v>
      </c>
      <c r="B4" s="1" cm="1">
        <f t="array" ref="B4">_xlfn.SWITCH(F16,1,(K4),2,(L4),3,(N4),4,(O4),5,(M4),6,(P4),7,(0),8,(0),9,(" "),)</f>
        <v>0</v>
      </c>
      <c r="C4" s="784">
        <v>4</v>
      </c>
      <c r="D4" s="715">
        <v>4945</v>
      </c>
      <c r="E4" s="2" t="str">
        <f>58010&amp;G24&amp;H11</f>
        <v>58010GP</v>
      </c>
      <c r="F4" s="430"/>
      <c r="G4" s="718">
        <v>0</v>
      </c>
      <c r="I4" s="197"/>
      <c r="J4" s="198"/>
      <c r="K4" s="198">
        <v>1800</v>
      </c>
      <c r="L4" s="198">
        <v>1974</v>
      </c>
      <c r="M4" s="198">
        <v>2048</v>
      </c>
      <c r="N4" s="198">
        <v>2172</v>
      </c>
      <c r="O4" s="198">
        <v>2356</v>
      </c>
      <c r="P4" s="199">
        <v>2615</v>
      </c>
    </row>
    <row r="5" spans="1:16" x14ac:dyDescent="0.25">
      <c r="A5" s="208" t="str">
        <f>Language!B522</f>
        <v xml:space="preserve">  U3 Y-Front Kort</v>
      </c>
      <c r="B5" s="209" cm="1">
        <f t="array" ref="B5">_xlfn.SWITCH(F16,1,(K5),2,(L5),3,(N5),4,(O5),5,(M5),6,(P5),7,(0),8,(0),9,(" "),)</f>
        <v>0</v>
      </c>
      <c r="C5" s="783">
        <v>2</v>
      </c>
      <c r="D5" s="731">
        <v>4945</v>
      </c>
      <c r="E5" s="211" t="str">
        <f>58020&amp;G24&amp;H11</f>
        <v>58020GP</v>
      </c>
      <c r="F5" s="429"/>
      <c r="G5" s="717" cm="1">
        <f t="array" ref="G5">_xlfn.SWITCH(F2,1,(B3),2,(B5),3,(B6),4,(B4),5,(B4),6,(B8),7,(B9),8,(0),9,(0),)</f>
        <v>0</v>
      </c>
      <c r="H5" s="212" t="s">
        <v>69</v>
      </c>
      <c r="I5" s="216"/>
      <c r="J5" s="217"/>
      <c r="K5" s="217">
        <v>1900</v>
      </c>
      <c r="L5" s="217">
        <v>1974</v>
      </c>
      <c r="M5" s="217">
        <v>2148</v>
      </c>
      <c r="N5" s="217">
        <v>2272</v>
      </c>
      <c r="O5" s="217">
        <v>2456</v>
      </c>
      <c r="P5" s="218">
        <v>3511</v>
      </c>
    </row>
    <row r="6" spans="1:16" x14ac:dyDescent="0.25">
      <c r="A6" s="208" t="str">
        <f>Language!B523</f>
        <v xml:space="preserve">  U3 Y-Front Låg</v>
      </c>
      <c r="B6" s="1" cm="1">
        <f t="array" ref="B6">_xlfn.SWITCH(F16,1,(K6),2,(L6),3,(N6),4,(O6),5,(M6),6,(O6),7,(0),8,(0),9,(" "),)</f>
        <v>0</v>
      </c>
      <c r="C6" s="784">
        <v>3</v>
      </c>
      <c r="D6" s="715">
        <v>5467</v>
      </c>
      <c r="E6" s="2" t="str">
        <f>58411&amp;G24&amp;H11</f>
        <v>58411GP</v>
      </c>
      <c r="F6" s="430"/>
      <c r="I6" s="197"/>
      <c r="J6" s="198"/>
      <c r="K6" s="198">
        <v>1900</v>
      </c>
      <c r="L6" s="198">
        <v>1974</v>
      </c>
      <c r="M6" s="198">
        <v>2148</v>
      </c>
      <c r="N6" s="198">
        <v>2272</v>
      </c>
      <c r="O6" s="198">
        <v>2456</v>
      </c>
      <c r="P6" s="199">
        <v>3511</v>
      </c>
    </row>
    <row r="7" spans="1:16" x14ac:dyDescent="0.25">
      <c r="A7" s="208"/>
      <c r="B7" s="209" cm="1">
        <f t="array" ref="B7">_xlfn.SWITCH(F16,1,(0),2,(0),3,(K7),4,(L7),5,(N7),6,(P6),7,(M7),8,(P7),9,(" "),)</f>
        <v>0</v>
      </c>
      <c r="C7" s="783"/>
      <c r="D7" s="210"/>
      <c r="E7" s="211"/>
      <c r="F7" s="429"/>
      <c r="G7" s="717" cm="1">
        <f t="array" ref="G7">_xlfn.SWITCH(F2,1,(D3),2,(D5),3,(D6),4,(D4),5,(0),6,(D8),7,(D9),8,(0),9,(" "),)</f>
        <v>0</v>
      </c>
      <c r="H7" s="212" t="s">
        <v>43</v>
      </c>
      <c r="I7" s="216"/>
      <c r="J7" s="217"/>
      <c r="K7" s="217"/>
      <c r="L7" s="217"/>
      <c r="M7" s="217"/>
      <c r="N7" s="217"/>
      <c r="O7" s="217"/>
      <c r="P7" s="218"/>
    </row>
    <row r="8" spans="1:16" x14ac:dyDescent="0.25">
      <c r="A8" s="159"/>
      <c r="B8" s="1" cm="1">
        <f t="array" ref="B8">_xlfn.SWITCH(F16,1,(0),2,(0),3,(K8),4,(L8),5,(N8),6,(O8),7,(M8),8,(P8),9,(" "),)</f>
        <v>0</v>
      </c>
      <c r="C8" s="784"/>
      <c r="F8" s="430"/>
      <c r="I8" s="197"/>
      <c r="J8" s="198"/>
      <c r="K8" s="198"/>
      <c r="L8" s="198"/>
      <c r="M8" s="198"/>
      <c r="N8" s="198"/>
      <c r="O8" s="198"/>
      <c r="P8" s="199"/>
    </row>
    <row r="9" spans="1:16" x14ac:dyDescent="0.25">
      <c r="A9" s="208"/>
      <c r="B9" s="209" cm="1">
        <f t="array" ref="B9">_xlfn.SWITCH(F16,1,(I9),2,(J9),3,(K9),4,(0),5,(0),6,(0),7,(0),8,(0),9,(" "),)</f>
        <v>0</v>
      </c>
      <c r="C9" s="783"/>
      <c r="D9" s="210"/>
      <c r="E9" s="211"/>
      <c r="F9" s="429"/>
      <c r="G9" s="215" t="str" cm="1">
        <f t="array" ref="G9">_xlfn.SWITCH(F2,1,(E3),2,(E5),3,(E6),4,(E4),5,(""),6,(E8),7,(E9),8,(""),9,(" "),)</f>
        <v/>
      </c>
      <c r="H9" s="212" t="s">
        <v>52</v>
      </c>
      <c r="I9" s="219"/>
      <c r="J9" s="220"/>
      <c r="K9" s="220"/>
      <c r="L9" s="220"/>
      <c r="M9" s="220"/>
      <c r="N9" s="220"/>
      <c r="O9" s="220"/>
      <c r="P9" s="221"/>
    </row>
    <row r="10" spans="1:16" x14ac:dyDescent="0.25">
      <c r="A10" s="159"/>
      <c r="B10" s="189">
        <f>G5</f>
        <v>0</v>
      </c>
      <c r="C10" s="785">
        <v>5</v>
      </c>
      <c r="D10" s="732">
        <f>G7</f>
        <v>0</v>
      </c>
      <c r="E10" s="163" t="str">
        <f>G9</f>
        <v/>
      </c>
      <c r="F10" s="430"/>
    </row>
    <row r="11" spans="1:16" x14ac:dyDescent="0.25">
      <c r="A11" s="200" t="s">
        <v>71</v>
      </c>
      <c r="B11" s="93"/>
      <c r="C11" s="276"/>
      <c r="D11" s="202"/>
      <c r="E11" s="205"/>
      <c r="F11" s="428">
        <v>3</v>
      </c>
      <c r="G11" s="179" t="s">
        <v>163</v>
      </c>
      <c r="H11" s="207" t="s">
        <v>155</v>
      </c>
    </row>
    <row r="12" spans="1:16" x14ac:dyDescent="0.25">
      <c r="A12" s="2" t="str">
        <f>Language!B525</f>
        <v>Svart - Anodic Black</v>
      </c>
      <c r="B12" s="188">
        <v>0</v>
      </c>
      <c r="C12" s="273"/>
      <c r="D12" s="479">
        <v>0</v>
      </c>
      <c r="E12" s="118">
        <v>9930011</v>
      </c>
      <c r="F12" s="430"/>
      <c r="G12" s="178" t="str" cm="1">
        <f t="array" ref="G12">_xlfn.SWITCH(F11,1,(A12),2,(A13),3,(""),4,(E15),5,(0),6,(0),7,(0),8,0,)</f>
        <v/>
      </c>
      <c r="H12" s="207" t="s">
        <v>53</v>
      </c>
    </row>
    <row r="13" spans="1:16" x14ac:dyDescent="0.25">
      <c r="A13" s="2" t="str">
        <f>Language!B526</f>
        <v>Grå - Gray Metallic</v>
      </c>
      <c r="B13" s="188">
        <v>0</v>
      </c>
      <c r="C13" s="273"/>
      <c r="D13" s="479">
        <v>0</v>
      </c>
      <c r="E13" s="118">
        <v>9930002</v>
      </c>
      <c r="F13" s="431"/>
      <c r="G13" s="206" cm="1">
        <f t="array" ref="G13">_xlfn.SWITCH(F11,1,(0),2,(0),3,(0),4,(C14),5,(0),6,(0),7,(0),8,0,)</f>
        <v>0</v>
      </c>
      <c r="H13" s="207" t="s">
        <v>54</v>
      </c>
    </row>
    <row r="14" spans="1:16" x14ac:dyDescent="0.25">
      <c r="A14" s="2" t="str">
        <f>Language!B527</f>
        <v xml:space="preserve">         Tillvalsfärg</v>
      </c>
      <c r="B14" s="188">
        <v>0</v>
      </c>
      <c r="D14" s="479">
        <v>0</v>
      </c>
      <c r="E14" s="2">
        <f>'U3 models'!F27</f>
        <v>0</v>
      </c>
      <c r="F14" s="431"/>
      <c r="G14" s="178" t="str" cm="1">
        <f t="array" ref="G14">_xlfn.SWITCH(F11,1,(H12),2,(H13),3,(" "),4,(H11),5,(0),6,(0),7,(0),8,0,)</f>
        <v xml:space="preserve"> </v>
      </c>
    </row>
    <row r="15" spans="1:16" x14ac:dyDescent="0.25">
      <c r="A15" s="2"/>
      <c r="B15" s="189">
        <v>0</v>
      </c>
      <c r="C15" s="739"/>
      <c r="D15" s="725">
        <v>0</v>
      </c>
      <c r="E15" s="164" t="str">
        <f>G15</f>
        <v/>
      </c>
      <c r="F15" s="431"/>
      <c r="G15" s="178" t="str" cm="1">
        <f t="array" ref="G15">_xlfn.SWITCH(F11,1,(E12),2,(E13),3,(""),4,(E14),5,(0),6,(0),7,(0),8,0,)</f>
        <v/>
      </c>
    </row>
    <row r="16" spans="1:16" x14ac:dyDescent="0.25">
      <c r="A16" s="200" t="s">
        <v>113</v>
      </c>
      <c r="B16" s="93"/>
      <c r="C16" s="276"/>
      <c r="D16" s="202"/>
      <c r="E16" s="203"/>
      <c r="F16" s="428">
        <v>7</v>
      </c>
      <c r="G16" s="179"/>
      <c r="J16" s="183"/>
    </row>
    <row r="17" spans="1:11" x14ac:dyDescent="0.25">
      <c r="A17" s="2"/>
      <c r="F17" s="430"/>
      <c r="G17" s="179"/>
    </row>
    <row r="18" spans="1:11" x14ac:dyDescent="0.25">
      <c r="A18" s="2"/>
      <c r="F18" s="430"/>
      <c r="G18" s="179"/>
    </row>
    <row r="19" spans="1:11" x14ac:dyDescent="0.25">
      <c r="A19" s="2">
        <v>33</v>
      </c>
      <c r="F19" s="430"/>
      <c r="G19" s="180"/>
    </row>
    <row r="20" spans="1:11" x14ac:dyDescent="0.25">
      <c r="A20" s="2">
        <v>36</v>
      </c>
      <c r="F20" s="430"/>
      <c r="G20" s="180"/>
    </row>
    <row r="21" spans="1:11" x14ac:dyDescent="0.25">
      <c r="A21" s="2">
        <v>39</v>
      </c>
      <c r="E21" s="14"/>
      <c r="F21" s="430"/>
      <c r="G21" s="458" t="str" cm="1">
        <f t="array" ref="G21">_xlfn.SWITCH(F2,1,("33-45 cm"),2,("33-50 cm"),3,("33-50 cm"),4,("33-50 cm"),5,(""),6,("33-50 cm"),7,("27-33 cm"),8,(""),)</f>
        <v/>
      </c>
      <c r="H21" s="423" t="s">
        <v>147</v>
      </c>
    </row>
    <row r="22" spans="1:11" x14ac:dyDescent="0.25">
      <c r="A22" s="2">
        <v>42</v>
      </c>
      <c r="E22" s="14"/>
      <c r="F22" s="430"/>
      <c r="G22" s="180"/>
    </row>
    <row r="23" spans="1:11" x14ac:dyDescent="0.25">
      <c r="A23" s="2">
        <v>45</v>
      </c>
      <c r="E23" s="14"/>
      <c r="F23" s="430"/>
      <c r="G23" s="180">
        <v>0</v>
      </c>
    </row>
    <row r="24" spans="1:11" x14ac:dyDescent="0.25">
      <c r="A24" s="2">
        <v>50</v>
      </c>
      <c r="E24" s="14">
        <v>36</v>
      </c>
      <c r="F24" s="430"/>
      <c r="G24" s="459" t="str" cm="1">
        <f t="array" ref="G24">_xlfn.SWITCH(F16,1,(A19),2,(A20),3,(A22),4,(A23),5,(A21),6,(A24),7,(""),8,(""),9,(" "),)</f>
        <v/>
      </c>
      <c r="H24" s="303" t="s">
        <v>156</v>
      </c>
      <c r="J24" t="str" cm="1">
        <f t="array" ref="J24">_xlfn.SWITCH(F16,1,(33),2,(36),3,(42),4,(45),5,(39),6,(50),7,(""),8,(""),9,(" "),)</f>
        <v/>
      </c>
    </row>
    <row r="25" spans="1:11" x14ac:dyDescent="0.25">
      <c r="A25" s="2"/>
      <c r="D25" s="725">
        <v>0</v>
      </c>
      <c r="E25" s="164" t="str">
        <f>G24</f>
        <v/>
      </c>
      <c r="F25" s="430"/>
      <c r="G25" s="180"/>
    </row>
    <row r="26" spans="1:11" x14ac:dyDescent="0.25">
      <c r="A26" s="200" t="s">
        <v>154</v>
      </c>
      <c r="B26" s="93"/>
      <c r="C26" s="276"/>
      <c r="D26" s="202"/>
      <c r="E26" s="203"/>
      <c r="F26" s="428">
        <v>1</v>
      </c>
      <c r="G26" s="180"/>
      <c r="K26" s="303" t="s">
        <v>69</v>
      </c>
    </row>
    <row r="27" spans="1:11" x14ac:dyDescent="0.25">
      <c r="A27" s="2">
        <v>35</v>
      </c>
      <c r="B27" s="1">
        <v>0</v>
      </c>
      <c r="F27" s="430"/>
      <c r="G27" s="178" t="str" cm="1">
        <f t="array" ref="G27">_xlfn.SWITCH(F26,1,("no seat depth"),2,(A27),3,(A28),4,(A29),5,(A30),6,("33-50 cm"),7,("27-33 cm"),8,(""),)</f>
        <v>no seat depth</v>
      </c>
      <c r="H27" s="303" t="s">
        <v>163</v>
      </c>
      <c r="K27" s="190">
        <v>200</v>
      </c>
    </row>
    <row r="28" spans="1:11" x14ac:dyDescent="0.25">
      <c r="A28" s="2" t="s">
        <v>136</v>
      </c>
      <c r="B28" s="1">
        <v>0</v>
      </c>
      <c r="F28" s="430"/>
      <c r="G28" s="178" cm="1">
        <f t="array" ref="G28">_xlfn.SWITCH(F26,1,(0),2,(B27),3,(B28),4,(B29),5,(B30),6,("33-50 cm"),7,("27-33 cm"),8,(""),)</f>
        <v>0</v>
      </c>
      <c r="H28" s="303" t="s">
        <v>69</v>
      </c>
      <c r="K28" s="190">
        <v>215</v>
      </c>
    </row>
    <row r="29" spans="1:11" x14ac:dyDescent="0.25">
      <c r="A29" s="2">
        <v>40</v>
      </c>
      <c r="B29" s="1">
        <v>0</v>
      </c>
      <c r="F29" s="430"/>
      <c r="G29" s="180"/>
      <c r="K29" s="190">
        <v>230</v>
      </c>
    </row>
    <row r="30" spans="1:11" x14ac:dyDescent="0.25">
      <c r="A30" s="2" t="s">
        <v>137</v>
      </c>
      <c r="B30" s="1">
        <v>0</v>
      </c>
      <c r="F30" s="430"/>
      <c r="G30" s="178" t="str" cm="1">
        <f t="array" ref="G30">_xlfn.SWITCH(F2,1,("40 cm"),2,("35, 37.5 cm (seat width 50 cm ) 37.5 cm"),3,("35, 37.5 cm (seat width 50 cm ) 37.5 cm"),4,("35, 37.5, 40, 42.5 cm"),5,(""),6,("33-50 cm"),7,("27-33 cm"),8,(""),)</f>
        <v/>
      </c>
      <c r="H30" s="303" t="s">
        <v>148</v>
      </c>
      <c r="K30" s="190">
        <v>245</v>
      </c>
    </row>
    <row r="31" spans="1:11" x14ac:dyDescent="0.25">
      <c r="A31" s="2"/>
      <c r="F31" s="430"/>
      <c r="G31" s="180"/>
    </row>
    <row r="32" spans="1:11" x14ac:dyDescent="0.25">
      <c r="A32" s="2"/>
      <c r="B32" s="737">
        <f>G28</f>
        <v>0</v>
      </c>
      <c r="C32" s="738"/>
      <c r="D32" s="725">
        <v>0</v>
      </c>
      <c r="F32" s="430"/>
      <c r="G32" s="178" t="str" cm="1">
        <f t="array" ref="G32">_xlfn.SWITCH(F26,1,(""),2,(A27),3,(A28),4,(A29),5,(A30),)</f>
        <v/>
      </c>
    </row>
    <row r="33" spans="1:24" x14ac:dyDescent="0.25">
      <c r="A33" s="200" t="s">
        <v>114</v>
      </c>
      <c r="B33" s="93"/>
      <c r="C33" s="276"/>
      <c r="D33" s="202"/>
      <c r="E33" s="205"/>
      <c r="F33" s="428">
        <v>4</v>
      </c>
    </row>
    <row r="34" spans="1:24" x14ac:dyDescent="0.25">
      <c r="A34" s="2" t="str">
        <f>Language!B539</f>
        <v>Standard</v>
      </c>
      <c r="B34" s="1">
        <v>722</v>
      </c>
      <c r="D34" s="715">
        <v>2270</v>
      </c>
      <c r="E34" s="2" t="str">
        <f>523&amp;G24&amp;G49&amp;G35</f>
        <v>523 VER2</v>
      </c>
      <c r="F34" s="430"/>
      <c r="G34" s="267" t="str" cm="1">
        <f t="array" ref="G34">_xlfn.SWITCH(F33,1,(A40),2,(A35),3,(A36),4,(""),5,(Weights_U3!A34),6,(A38),7,(A37),8,(A39),9,(A40),)</f>
        <v/>
      </c>
      <c r="H34" s="303" t="s">
        <v>163</v>
      </c>
      <c r="I34" s="34" t="s">
        <v>112</v>
      </c>
      <c r="N34" s="34" t="s">
        <v>112</v>
      </c>
      <c r="S34" s="34" t="s">
        <v>112</v>
      </c>
    </row>
    <row r="35" spans="1:24" x14ac:dyDescent="0.25">
      <c r="A35" s="2" t="str">
        <f>Language!B540</f>
        <v xml:space="preserve"> Insvängd</v>
      </c>
      <c r="B35" s="1">
        <v>900</v>
      </c>
      <c r="D35" s="715">
        <v>4464</v>
      </c>
      <c r="E35" s="2" t="str">
        <f>525&amp;G24&amp;G49&amp;G35</f>
        <v>525 VER2</v>
      </c>
      <c r="F35" s="430"/>
      <c r="G35" s="64" t="s">
        <v>61</v>
      </c>
      <c r="I35" s="183" t="e" cm="1">
        <f t="array" ref="I35">_xlfn.XLOOKUP(E25,J39:M39,_xlfn.XLOOKUP(E50,I40:I42,J40:M42))</f>
        <v>#N/A</v>
      </c>
      <c r="N35" s="183" t="e" cm="1">
        <f t="array" ref="N35">_xlfn.XLOOKUP(E25,O39:R39,_xlfn.XLOOKUP(E50,N40:N43,O40:R43))</f>
        <v>#N/A</v>
      </c>
      <c r="S35" s="183" t="e" cm="1">
        <f t="array" ref="S35">_xlfn.XLOOKUP(E25,T39:X39,_xlfn.XLOOKUP(E50,S40:S41,T40:X41))</f>
        <v>#N/A</v>
      </c>
    </row>
    <row r="36" spans="1:24" x14ac:dyDescent="0.25">
      <c r="A36" s="2" t="str">
        <f>Language!B541</f>
        <v>Bakåtbockad</v>
      </c>
      <c r="B36" s="1">
        <v>950</v>
      </c>
      <c r="D36" s="715">
        <v>4464</v>
      </c>
      <c r="E36" s="2" t="str">
        <f>524&amp;G24&amp;G49&amp;G35</f>
        <v>524 VER2</v>
      </c>
      <c r="F36" s="430"/>
      <c r="I36" s="223" t="s">
        <v>74</v>
      </c>
      <c r="J36" s="224"/>
      <c r="K36" s="223" t="s">
        <v>75</v>
      </c>
      <c r="L36" s="224"/>
      <c r="M36" s="223"/>
      <c r="N36" s="223" t="s">
        <v>74</v>
      </c>
      <c r="O36" s="224"/>
      <c r="P36" s="223" t="s">
        <v>75</v>
      </c>
      <c r="Q36" s="224"/>
      <c r="R36" s="223"/>
      <c r="S36" s="223" t="s">
        <v>74</v>
      </c>
      <c r="T36" s="224"/>
      <c r="U36" s="223" t="s">
        <v>75</v>
      </c>
      <c r="V36" s="224"/>
      <c r="W36" s="224"/>
    </row>
    <row r="37" spans="1:24" x14ac:dyDescent="0.25">
      <c r="A37" s="2" t="str">
        <f>Language!B542</f>
        <v>För fasta ryggsystem</v>
      </c>
      <c r="B37" s="1">
        <v>700</v>
      </c>
      <c r="D37" s="715">
        <v>3629</v>
      </c>
      <c r="E37" s="2" t="str">
        <f>71105&amp;G24</f>
        <v>71105</v>
      </c>
      <c r="F37" s="430"/>
      <c r="G37" s="182" cm="1">
        <f t="array" ref="G37">_xlfn.SWITCH(F33,1,(B40),2,(B35),3,(B36),4,(0),5,(Weights_U3!B34),6,(B38),7,(B37),8,(B39),9,B40)</f>
        <v>0</v>
      </c>
      <c r="H37" s="212" t="s">
        <v>69</v>
      </c>
      <c r="I37" s="271" t="s">
        <v>62</v>
      </c>
      <c r="J37" s="227"/>
      <c r="K37" s="197" t="s">
        <v>62</v>
      </c>
      <c r="L37" s="227"/>
      <c r="M37" s="197"/>
      <c r="N37" s="271" t="s">
        <v>63</v>
      </c>
      <c r="O37" s="227"/>
      <c r="P37" s="197" t="s">
        <v>63</v>
      </c>
      <c r="Q37" s="227"/>
      <c r="R37" s="197"/>
      <c r="S37" s="197" t="s">
        <v>111</v>
      </c>
      <c r="T37" s="227"/>
      <c r="U37" s="197" t="s">
        <v>111</v>
      </c>
      <c r="V37" s="227"/>
      <c r="W37" s="227"/>
    </row>
    <row r="38" spans="1:24" x14ac:dyDescent="0.25">
      <c r="A38" s="2" t="str">
        <f>Language!B543</f>
        <v>Insvängd 6 cm</v>
      </c>
      <c r="B38" s="1">
        <v>950</v>
      </c>
      <c r="D38" s="715">
        <v>6089</v>
      </c>
      <c r="E38" s="2" t="e">
        <f>7110&amp;I35&amp;G35</f>
        <v>#N/A</v>
      </c>
      <c r="F38" s="430"/>
      <c r="I38" s="225" cm="1">
        <f t="array" ref="I38">_xlfn.SWITCH(F16,1,("N/A"),2,("N/A"),3,("N/A"),4,(26),5,(32),6,(35),7,(29),8,("N/A"),9,(" "),)</f>
        <v>29</v>
      </c>
      <c r="J38" s="226"/>
      <c r="K38" s="225" cm="1">
        <f t="array" ref="K38">_xlfn.SWITCH(F43,1,("N/A"),2,("N/A"),3,("N/A"),4,(I38),5,(27),6,(28),7,(29),8,("N/A"),9,(" "),)</f>
        <v>29</v>
      </c>
      <c r="L38" s="226"/>
      <c r="M38" s="197"/>
      <c r="N38" s="225" cm="1">
        <f t="array" ref="N38">_xlfn.SWITCH(K16,1,("N/A"),2,("N/A"),3,("N/A"),4,(26),5,(32),6,(35),7,(29),8,("N/A"),9,(" "),)</f>
        <v>0</v>
      </c>
      <c r="O38" s="226"/>
      <c r="P38" s="225" cm="1">
        <f t="array" ref="P38">_xlfn.SWITCH(K43,1,("N/A"),2,("N/A"),3,("N/A"),4,(N38),5,(27),6,(28),7,(29),8,("N/A"),9,(" "),)</f>
        <v>0</v>
      </c>
      <c r="Q38" s="226"/>
      <c r="R38" s="197"/>
      <c r="S38" s="225" cm="1">
        <f t="array" ref="S38">_xlfn.SWITCH(P16,1,("N/A"),2,("N/A"),3,("N/A"),4,(26),5,(32),6,(35),7,(29),8,("N/A"),9,(" "),)</f>
        <v>0</v>
      </c>
      <c r="T38" s="226"/>
      <c r="U38" s="225" cm="1">
        <f t="array" ref="U38">_xlfn.SWITCH(P43,1,("N/A"),2,("N/A"),3,("N/A"),4,(S38),5,(27),6,(28),7,(29),8,("N/A"),9,(" "),)</f>
        <v>0</v>
      </c>
      <c r="V38" s="226"/>
      <c r="W38" s="227"/>
    </row>
    <row r="39" spans="1:24" x14ac:dyDescent="0.25">
      <c r="A39" s="2" t="str">
        <f>Language!B544</f>
        <v>Utsvängd 3 cm</v>
      </c>
      <c r="B39" s="1">
        <v>925</v>
      </c>
      <c r="D39" s="715">
        <v>6089</v>
      </c>
      <c r="E39" s="2" t="e">
        <f>7110&amp;N35&amp;G35</f>
        <v>#N/A</v>
      </c>
      <c r="F39" s="430"/>
      <c r="G39" s="182" cm="1">
        <f t="array" ref="G39">_xlfn.SWITCH(F33,1,(D40),2,(D35),3,(D36),4,(0),5,(D34),6,(D38),7,(D37),8,(D39),9,(D40),)</f>
        <v>0</v>
      </c>
      <c r="H39" s="212" t="s">
        <v>43</v>
      </c>
      <c r="I39" s="197"/>
      <c r="J39" s="34">
        <v>36</v>
      </c>
      <c r="K39" s="34">
        <v>39</v>
      </c>
      <c r="L39" s="34">
        <v>42</v>
      </c>
      <c r="M39" s="270">
        <v>45</v>
      </c>
      <c r="N39" s="197"/>
      <c r="O39" s="34">
        <v>33</v>
      </c>
      <c r="P39" s="34">
        <v>36</v>
      </c>
      <c r="Q39" s="34">
        <v>39</v>
      </c>
      <c r="R39" s="270">
        <v>42</v>
      </c>
      <c r="S39" s="197"/>
      <c r="T39" s="34">
        <v>33</v>
      </c>
      <c r="U39" s="34">
        <v>36</v>
      </c>
      <c r="V39" s="34">
        <v>39</v>
      </c>
      <c r="W39" s="34">
        <v>42</v>
      </c>
      <c r="X39" s="270">
        <v>45</v>
      </c>
    </row>
    <row r="40" spans="1:24" x14ac:dyDescent="0.25">
      <c r="A40" s="2" t="str">
        <f>Language!B545</f>
        <v>Bakåtbockad-insvängd</v>
      </c>
      <c r="B40" s="1">
        <v>1000</v>
      </c>
      <c r="D40" s="715">
        <v>6089</v>
      </c>
      <c r="E40" s="2" t="e">
        <f>7110&amp;S35&amp;G35</f>
        <v>#N/A</v>
      </c>
      <c r="F40" s="430"/>
      <c r="I40" s="271">
        <v>30</v>
      </c>
      <c r="J40">
        <v>626</v>
      </c>
      <c r="K40">
        <v>629</v>
      </c>
      <c r="L40">
        <v>632</v>
      </c>
      <c r="M40" s="227">
        <v>635</v>
      </c>
      <c r="N40" s="271">
        <v>25</v>
      </c>
      <c r="O40">
        <v>599</v>
      </c>
      <c r="P40">
        <v>603</v>
      </c>
      <c r="Q40">
        <v>607</v>
      </c>
      <c r="R40" s="227">
        <v>611</v>
      </c>
      <c r="S40" s="271">
        <v>35</v>
      </c>
      <c r="T40">
        <v>681</v>
      </c>
      <c r="U40">
        <v>682</v>
      </c>
      <c r="V40">
        <v>683</v>
      </c>
      <c r="W40">
        <v>684</v>
      </c>
      <c r="X40" s="227">
        <v>685</v>
      </c>
    </row>
    <row r="41" spans="1:24" x14ac:dyDescent="0.25">
      <c r="A41" s="2"/>
      <c r="B41" s="1"/>
      <c r="D41" s="715"/>
      <c r="F41" s="430"/>
      <c r="G41" s="267" t="str" cm="1">
        <f t="array" ref="G41">_xlfn.SWITCH(F33,1,(E40),2,(E35),3,(E36),4,(""),5,(E34),6,(E38),7,(E37),8,(E39),9,E40)</f>
        <v/>
      </c>
      <c r="H41" s="212" t="s">
        <v>52</v>
      </c>
      <c r="I41" s="271">
        <v>35</v>
      </c>
      <c r="J41">
        <v>627</v>
      </c>
      <c r="K41">
        <v>630</v>
      </c>
      <c r="L41">
        <v>633</v>
      </c>
      <c r="M41" s="227">
        <v>636</v>
      </c>
      <c r="N41" s="271">
        <v>30</v>
      </c>
      <c r="O41">
        <v>600</v>
      </c>
      <c r="P41">
        <v>604</v>
      </c>
      <c r="Q41">
        <v>608</v>
      </c>
      <c r="R41" s="227">
        <v>612</v>
      </c>
      <c r="S41" s="272">
        <v>40</v>
      </c>
      <c r="T41" s="238">
        <v>686</v>
      </c>
      <c r="U41" s="238">
        <v>687</v>
      </c>
      <c r="V41" s="238">
        <v>688</v>
      </c>
      <c r="W41" s="238">
        <v>689</v>
      </c>
      <c r="X41" s="226">
        <v>690</v>
      </c>
    </row>
    <row r="42" spans="1:24" x14ac:dyDescent="0.25">
      <c r="A42" s="2"/>
      <c r="B42" s="189">
        <f>G37</f>
        <v>0</v>
      </c>
      <c r="C42" s="738"/>
      <c r="D42" s="725">
        <f>G39</f>
        <v>0</v>
      </c>
      <c r="E42" s="164" t="str">
        <f>G41</f>
        <v/>
      </c>
      <c r="F42" s="430"/>
      <c r="G42" s="182" t="str" cm="1">
        <f t="array" ref="G42">_xlfn.SWITCH(F33,1,(S45),2,(""),3,(""),4,(""),5,(""),6,(I45),7,(""),8,(N45),9,E40)</f>
        <v/>
      </c>
      <c r="H42" t="s">
        <v>122</v>
      </c>
      <c r="I42" s="272">
        <v>40</v>
      </c>
      <c r="J42" s="238">
        <v>628</v>
      </c>
      <c r="K42" s="238">
        <v>631</v>
      </c>
      <c r="L42" s="238">
        <v>634</v>
      </c>
      <c r="M42" s="226">
        <v>637</v>
      </c>
      <c r="N42" s="271">
        <v>35</v>
      </c>
      <c r="O42">
        <v>601</v>
      </c>
      <c r="P42">
        <v>605</v>
      </c>
      <c r="Q42">
        <v>609</v>
      </c>
      <c r="R42" s="227">
        <v>613</v>
      </c>
    </row>
    <row r="43" spans="1:24" x14ac:dyDescent="0.25">
      <c r="A43" s="222" t="s">
        <v>115</v>
      </c>
      <c r="B43" s="204"/>
      <c r="C43" s="276"/>
      <c r="D43" s="202"/>
      <c r="E43" s="205"/>
      <c r="F43" s="428">
        <v>7</v>
      </c>
      <c r="N43" s="272">
        <v>40</v>
      </c>
      <c r="O43" s="238">
        <v>602</v>
      </c>
      <c r="P43" s="238">
        <v>606</v>
      </c>
      <c r="Q43" s="238">
        <v>610</v>
      </c>
      <c r="R43" s="226">
        <v>614</v>
      </c>
    </row>
    <row r="44" spans="1:24" x14ac:dyDescent="0.25">
      <c r="A44" s="2">
        <v>20</v>
      </c>
      <c r="B44" s="1">
        <v>0</v>
      </c>
      <c r="E44" s="2">
        <v>20</v>
      </c>
      <c r="F44" s="430"/>
      <c r="I44" s="34" t="s">
        <v>121</v>
      </c>
      <c r="J44" s="34"/>
      <c r="K44" s="34"/>
      <c r="L44" s="34"/>
      <c r="M44" s="34"/>
      <c r="N44" s="34" t="s">
        <v>121</v>
      </c>
      <c r="O44" s="34"/>
      <c r="P44" s="34"/>
      <c r="Q44" s="34"/>
      <c r="R44" s="34"/>
      <c r="S44" s="34" t="s">
        <v>121</v>
      </c>
    </row>
    <row r="45" spans="1:24" x14ac:dyDescent="0.25">
      <c r="A45" s="2">
        <v>25</v>
      </c>
      <c r="B45" s="1">
        <v>110</v>
      </c>
      <c r="E45" s="2">
        <v>25</v>
      </c>
      <c r="F45" s="430"/>
      <c r="G45" s="182" cm="1">
        <f t="array" ref="G45">_xlfn.SWITCH(F43,1,(0),2,(B45),3,(B46),4,(B47),5,(B48),6,(B49),7,(0),8,0,)</f>
        <v>0</v>
      </c>
      <c r="H45" s="212" t="s">
        <v>69</v>
      </c>
      <c r="I45" s="183" t="e">
        <f>7120&amp;I35</f>
        <v>#N/A</v>
      </c>
      <c r="J45" s="183" t="str" cm="1">
        <f t="array" ref="J45">_xlfn.SWITCH(F33,1,(""),2,(""),3,(""),4,(""),5,(""),6,(I45),7,(""),8,(""),9,(""),)</f>
        <v/>
      </c>
      <c r="N45" s="183" t="e">
        <f>7120&amp;N35</f>
        <v>#N/A</v>
      </c>
      <c r="O45" s="183" t="str" cm="1">
        <f t="array" ref="O45">_xlfn.SWITCH(F33,1,(""),2,(""),3,(""),4,(""),5,(""),6,(""),7,(""),8,(N45),9,(""),)</f>
        <v/>
      </c>
      <c r="S45" s="183" t="str">
        <f>526&amp;G24&amp;E50&amp;"T"</f>
        <v>526T</v>
      </c>
      <c r="T45" s="183"/>
    </row>
    <row r="46" spans="1:24" x14ac:dyDescent="0.25">
      <c r="A46" s="2">
        <v>30</v>
      </c>
      <c r="B46" s="1">
        <v>220</v>
      </c>
      <c r="E46" s="2">
        <v>30</v>
      </c>
      <c r="F46" s="430"/>
    </row>
    <row r="47" spans="1:24" x14ac:dyDescent="0.25">
      <c r="A47" s="2">
        <v>35</v>
      </c>
      <c r="B47" s="1">
        <v>330</v>
      </c>
      <c r="E47" s="2">
        <v>35</v>
      </c>
      <c r="F47" s="430"/>
      <c r="H47" s="212" t="s">
        <v>43</v>
      </c>
    </row>
    <row r="48" spans="1:24" x14ac:dyDescent="0.25">
      <c r="A48" s="2">
        <v>40</v>
      </c>
      <c r="B48" s="1">
        <v>440</v>
      </c>
      <c r="E48" s="2">
        <v>40</v>
      </c>
      <c r="F48" s="430"/>
    </row>
    <row r="49" spans="1:10" x14ac:dyDescent="0.25">
      <c r="A49" s="2">
        <v>45</v>
      </c>
      <c r="B49" s="1">
        <v>550</v>
      </c>
      <c r="E49" s="2">
        <v>45</v>
      </c>
      <c r="F49" s="430"/>
      <c r="G49" s="182" t="str" cm="1">
        <f t="array" ref="G49">_xlfn.SWITCH(F43,1,(E44),2,(E45),3,(E46),4,(E47),5,(E48),6,(E49),7,(""),8,0,)</f>
        <v/>
      </c>
      <c r="H49" s="212" t="s">
        <v>52</v>
      </c>
    </row>
    <row r="50" spans="1:10" x14ac:dyDescent="0.25">
      <c r="A50" s="2"/>
      <c r="B50" s="189">
        <f>G45</f>
        <v>0</v>
      </c>
      <c r="D50" s="725">
        <v>0</v>
      </c>
      <c r="E50" s="726" t="str">
        <f>G49</f>
        <v/>
      </c>
      <c r="F50" s="430"/>
    </row>
    <row r="51" spans="1:10" x14ac:dyDescent="0.25">
      <c r="A51" s="222" t="s">
        <v>116</v>
      </c>
      <c r="B51" s="204"/>
      <c r="C51" s="276"/>
      <c r="D51" s="202"/>
      <c r="E51" s="205"/>
      <c r="F51" s="428">
        <v>4</v>
      </c>
      <c r="G51" s="267" t="str" cm="1">
        <f t="array" ref="G51">_xlfn.SWITCH(F51,1,(A52),2,(A53),3,(A45),4,(""),5,(A47),6,(A48),7,(0),8,0,)</f>
        <v/>
      </c>
      <c r="H51" s="303" t="s">
        <v>163</v>
      </c>
    </row>
    <row r="52" spans="1:10" x14ac:dyDescent="0.25">
      <c r="A52" s="2" t="str">
        <f>Language!B554</f>
        <v>Standard</v>
      </c>
      <c r="B52" s="1">
        <v>347</v>
      </c>
      <c r="D52" s="715">
        <v>1447</v>
      </c>
      <c r="E52" s="2" t="str">
        <f>G52&amp;G24</f>
        <v>33023</v>
      </c>
      <c r="F52" s="430"/>
      <c r="G52" s="182">
        <v>33023</v>
      </c>
      <c r="H52" s="183" t="str" cm="1">
        <f t="array" ref="H52">_xlfn.SWITCH(F51,1,(D52),2,(D53),3,(D54),4,("0"),5,(D47),6,(D48),7,(" "),8,0,)</f>
        <v>0</v>
      </c>
      <c r="I52" s="212" t="s">
        <v>43</v>
      </c>
    </row>
    <row r="53" spans="1:10" x14ac:dyDescent="0.25">
      <c r="A53" s="2" t="str">
        <f>Language!B555</f>
        <v>Standard +15mm</v>
      </c>
      <c r="B53" s="1">
        <v>352</v>
      </c>
      <c r="D53" s="479">
        <v>1447</v>
      </c>
      <c r="E53" s="2" t="e">
        <f>G52&amp;G53</f>
        <v>#VALUE!</v>
      </c>
      <c r="F53" s="430"/>
      <c r="G53" s="182" t="e">
        <f>G24+1</f>
        <v>#VALUE!</v>
      </c>
    </row>
    <row r="54" spans="1:10" x14ac:dyDescent="0.25">
      <c r="A54" s="2" t="str">
        <f>Language!B556</f>
        <v>Övriga bakaxlar</v>
      </c>
      <c r="B54" s="1">
        <v>550</v>
      </c>
      <c r="D54" s="479" t="str">
        <f>IF(E54=0,"0",(VLOOKUP(E54,GP!$A$1:$C$5787,3,FALSE)))</f>
        <v>0</v>
      </c>
      <c r="E54" s="2">
        <f>'U3 models'!J58</f>
        <v>0</v>
      </c>
      <c r="F54" s="430"/>
      <c r="G54" s="267" t="str" cm="1">
        <f t="array" ref="G54">_xlfn.SWITCH(F51,1,(E52),2,(E53),3,(E54),4,(""),5,(E47),6,(E48),7,(" "),8,0,)</f>
        <v/>
      </c>
      <c r="H54" s="212" t="s">
        <v>52</v>
      </c>
    </row>
    <row r="55" spans="1:10" x14ac:dyDescent="0.25">
      <c r="A55" s="2"/>
      <c r="B55" s="189">
        <f>G55</f>
        <v>0</v>
      </c>
      <c r="D55" s="725" t="str">
        <f>H52</f>
        <v>0</v>
      </c>
      <c r="E55" s="164" t="str">
        <f>G54</f>
        <v/>
      </c>
      <c r="F55" s="430"/>
      <c r="G55" s="182" cm="1">
        <f t="array" ref="G55">_xlfn.SWITCH(F51,1,(B52),2,(B53),3,(B45),4,(0),5,(B47),6,(B48),7,(0),8,0,)</f>
        <v>0</v>
      </c>
      <c r="H55" s="212" t="s">
        <v>69</v>
      </c>
    </row>
    <row r="56" spans="1:10" x14ac:dyDescent="0.25">
      <c r="A56" s="222" t="s">
        <v>117</v>
      </c>
      <c r="B56" s="204"/>
      <c r="C56" s="276"/>
      <c r="D56" s="202"/>
      <c r="E56" s="205"/>
      <c r="F56" s="428">
        <v>3</v>
      </c>
    </row>
    <row r="57" spans="1:10" x14ac:dyDescent="0.25">
      <c r="A57" s="2">
        <v>120</v>
      </c>
      <c r="B57" s="1">
        <v>666</v>
      </c>
      <c r="D57" s="1">
        <v>613</v>
      </c>
      <c r="E57" s="2">
        <v>2100020</v>
      </c>
      <c r="F57" s="430"/>
      <c r="G57" s="182" t="str" cm="1">
        <f t="array" ref="G57">_xlfn.SWITCH(F56,1,(A58),2,(A57),3,(""),4,(0),5,(A58),6,(A48),7,(0),8,0,)</f>
        <v/>
      </c>
      <c r="H57" s="303" t="s">
        <v>163</v>
      </c>
    </row>
    <row r="58" spans="1:10" x14ac:dyDescent="0.25">
      <c r="A58" s="2">
        <v>90</v>
      </c>
      <c r="B58" s="1">
        <v>590</v>
      </c>
      <c r="D58" s="1">
        <v>613</v>
      </c>
      <c r="E58" s="2">
        <v>2100030</v>
      </c>
      <c r="F58" s="430"/>
      <c r="G58" s="182" cm="1">
        <f t="array" ref="G58">_xlfn.SWITCH(F56,1,(B58),2,(B57),3,(0),4,(0),5,(B58),6,(B48),7,(0),8,0,)</f>
        <v>0</v>
      </c>
      <c r="H58" s="212" t="s">
        <v>69</v>
      </c>
    </row>
    <row r="59" spans="1:10" x14ac:dyDescent="0.25">
      <c r="B59" s="1"/>
      <c r="D59" s="1">
        <v>600</v>
      </c>
      <c r="F59" s="430"/>
      <c r="G59" s="182" cm="1">
        <f t="array" ref="G59">_xlfn.SWITCH(F56,1,(D58),2,(D57),3,(0),4,(0),5,(D58),6,(D48),7,(0),8,0,)</f>
        <v>0</v>
      </c>
      <c r="H59" s="212" t="s">
        <v>43</v>
      </c>
    </row>
    <row r="60" spans="1:10" x14ac:dyDescent="0.25">
      <c r="A60" s="2" t="str">
        <f>Language!B556</f>
        <v>Övriga bakaxlar</v>
      </c>
      <c r="B60" s="1">
        <v>900</v>
      </c>
      <c r="D60" s="1" t="str">
        <f>IF(E60=0,"0",(VLOOKUP(E60,GP!$A$1:$C$5787,3,FALSE)))</f>
        <v>0</v>
      </c>
      <c r="E60" s="2">
        <f>'S3 models'!J70</f>
        <v>0</v>
      </c>
      <c r="F60" s="430"/>
      <c r="G60" s="182" t="str" cm="1">
        <f t="array" ref="G60">_xlfn.SWITCH(F56,1,(E58),2,(E57),3,(""),4,(""),5,(E58),6,(E48),7,(" "),8,0,)</f>
        <v/>
      </c>
      <c r="H60" s="212" t="s">
        <v>52</v>
      </c>
    </row>
    <row r="61" spans="1:10" x14ac:dyDescent="0.25">
      <c r="A61" s="2"/>
      <c r="B61" s="189">
        <f>G58</f>
        <v>0</v>
      </c>
      <c r="D61" s="733">
        <f>(G59)*2</f>
        <v>0</v>
      </c>
      <c r="E61" s="164" t="str">
        <f>G60</f>
        <v/>
      </c>
      <c r="F61" s="430" t="s">
        <v>84</v>
      </c>
    </row>
    <row r="62" spans="1:10" x14ac:dyDescent="0.25">
      <c r="A62" s="222" t="s">
        <v>118</v>
      </c>
      <c r="B62" s="204"/>
      <c r="C62" s="276"/>
      <c r="D62" s="202"/>
      <c r="E62" s="205"/>
      <c r="F62" s="428">
        <v>4</v>
      </c>
      <c r="J62" s="674" t="s">
        <v>4733</v>
      </c>
    </row>
    <row r="63" spans="1:10" x14ac:dyDescent="0.25">
      <c r="A63" s="2" t="str">
        <f>Language!B563</f>
        <v>Titan,U-formad</v>
      </c>
      <c r="B63" s="1">
        <v>306</v>
      </c>
      <c r="D63" s="715">
        <v>942</v>
      </c>
      <c r="E63" s="2" t="str">
        <f>36915&amp;G24</f>
        <v>36915</v>
      </c>
      <c r="F63" s="430"/>
      <c r="G63" s="267" t="str" cm="1">
        <f t="array" ref="G63">_xlfn.SWITCH(F62,1,(A65),2,(A67),3,(A63),4,(""),5,(0),6,(0),7,(0),8,0,)</f>
        <v/>
      </c>
      <c r="H63" s="303" t="s">
        <v>163</v>
      </c>
      <c r="J63" s="675">
        <v>33</v>
      </c>
    </row>
    <row r="64" spans="1:10" x14ac:dyDescent="0.25">
      <c r="A64" s="2"/>
      <c r="B64" s="1"/>
      <c r="F64" s="430"/>
      <c r="G64" s="267" t="str" cm="1">
        <f t="array" ref="G64">_xlfn.SWITCH(F62,1,(D65),2,(D67),3,(D63),4,("0"),5,(0),6,(0),7,(0),8,0,)</f>
        <v>0</v>
      </c>
      <c r="H64" s="212" t="s">
        <v>43</v>
      </c>
      <c r="I64" s="34"/>
      <c r="J64" s="675">
        <v>36</v>
      </c>
    </row>
    <row r="65" spans="1:12" x14ac:dyDescent="0.25">
      <c r="A65" s="2" t="str">
        <f>Language!B564</f>
        <v>Förlängd, förstärkt</v>
      </c>
      <c r="B65" s="1">
        <v>400</v>
      </c>
      <c r="D65" s="715">
        <v>1980</v>
      </c>
      <c r="E65" s="2" t="str">
        <f>36006&amp;J68</f>
        <v>36006</v>
      </c>
      <c r="F65" s="430"/>
      <c r="G65" s="182" cm="1">
        <f t="array" ref="G65">_xlfn.SWITCH(F62,1,(B65),2,(B67),3,(B63),4,(B64),5,(0),6,(0),7,(0),8,0,)</f>
        <v>0</v>
      </c>
      <c r="H65" s="212" t="s">
        <v>69</v>
      </c>
      <c r="I65" s="2"/>
      <c r="J65" s="676" t="s">
        <v>4734</v>
      </c>
      <c r="K65" s="2"/>
      <c r="L65" s="2"/>
    </row>
    <row r="66" spans="1:12" x14ac:dyDescent="0.25">
      <c r="A66" s="2" t="str">
        <f>Language!B565</f>
        <v>Fällbara fotplattor</v>
      </c>
      <c r="B66" s="1">
        <v>800</v>
      </c>
      <c r="D66" s="715">
        <v>1580</v>
      </c>
      <c r="E66" s="2" t="str">
        <f>670&amp;I67</f>
        <v>670</v>
      </c>
      <c r="F66" s="430"/>
      <c r="J66" s="676" t="s">
        <v>4735</v>
      </c>
    </row>
    <row r="67" spans="1:12" ht="15" x14ac:dyDescent="0.25">
      <c r="A67" s="2" t="str">
        <f>Language!B566</f>
        <v>Fotplatta Carbon</v>
      </c>
      <c r="B67" s="1">
        <v>450</v>
      </c>
      <c r="D67" s="715">
        <v>3456</v>
      </c>
      <c r="E67" s="2" t="str">
        <f>65050&amp;G24</f>
        <v>65050</v>
      </c>
      <c r="F67" s="433"/>
      <c r="G67" s="164" t="str" cm="1">
        <f t="array" ref="G67">_xlfn.SWITCH(F62,1,(E65),2,(E67),3,(E63),4,(""),5,(E64),6,(""),7,(" "),8,0,)</f>
        <v/>
      </c>
      <c r="H67" s="212" t="s">
        <v>52</v>
      </c>
      <c r="I67" s="97"/>
      <c r="J67" s="229" t="s">
        <v>4736</v>
      </c>
    </row>
    <row r="68" spans="1:12" ht="15" x14ac:dyDescent="0.25">
      <c r="A68" s="2"/>
      <c r="B68" s="189">
        <f>G65</f>
        <v>0</v>
      </c>
      <c r="D68" s="723" t="str">
        <f>G64</f>
        <v>0</v>
      </c>
      <c r="E68" s="164" t="str">
        <f>G67</f>
        <v/>
      </c>
      <c r="F68" s="433"/>
      <c r="G68" s="2"/>
      <c r="I68" s="97"/>
      <c r="J68" s="183" t="str" cm="1">
        <f t="array" ref="J68">_xlfn.SWITCH(F16,1,(33),2,(36),3,("42B"),4,("45B"),5,("39B"),6,(50),7,(""),8,(""),9,(" "),)</f>
        <v/>
      </c>
    </row>
    <row r="69" spans="1:12" x14ac:dyDescent="0.25">
      <c r="A69" s="203"/>
      <c r="B69" s="230"/>
      <c r="D69" s="231" t="str" cm="1">
        <f t="array" ref="D69">_xlfn.SWITCH(F69,TRUE,("Yes"),"")</f>
        <v/>
      </c>
      <c r="E69" s="232" t="str" cm="1">
        <f t="array" ref="E69">_xlfn.SWITCH(F69,TRUE,(H69),"")</f>
        <v/>
      </c>
      <c r="F69" s="430"/>
      <c r="G69" s="267" t="str" cm="1">
        <f t="array" ref="G69">_xlfn.SWITCH(F70,TRUE,(Language!B324),"")</f>
        <v/>
      </c>
      <c r="H69" s="303" t="s">
        <v>163</v>
      </c>
      <c r="I69" s="34"/>
    </row>
    <row r="70" spans="1:12" x14ac:dyDescent="0.25">
      <c r="A70" s="203" t="str">
        <f>Language!B568</f>
        <v>Plastplatta</v>
      </c>
      <c r="B70" s="189" cm="1">
        <f t="array" ref="B70">_xlfn.SWITCH(F70,TRUE,(48),)</f>
        <v>0</v>
      </c>
      <c r="D70" s="723" t="str" cm="1">
        <f t="array" ref="D70">_xlfn.SWITCH(F70,TRUE,(248),"0")</f>
        <v>0</v>
      </c>
      <c r="E70" s="164" t="str" cm="1">
        <f t="array" ref="E70">_xlfn.SWITCH(F70,TRUE,(G70),"")</f>
        <v/>
      </c>
      <c r="F70" s="430" t="b">
        <v>0</v>
      </c>
      <c r="G70" s="267" t="str">
        <f>36010&amp;G24</f>
        <v>36010</v>
      </c>
      <c r="H70" s="212" t="s">
        <v>52</v>
      </c>
      <c r="I70" s="159"/>
      <c r="J70" s="159"/>
      <c r="K70" s="159"/>
      <c r="L70" s="159"/>
    </row>
    <row r="71" spans="1:12" x14ac:dyDescent="0.25">
      <c r="A71" s="2"/>
      <c r="B71" s="1"/>
      <c r="E71" s="730"/>
      <c r="F71" s="430"/>
    </row>
    <row r="72" spans="1:12" x14ac:dyDescent="0.25">
      <c r="A72" s="222" t="s">
        <v>119</v>
      </c>
      <c r="B72" s="204"/>
      <c r="C72" s="276"/>
      <c r="D72" s="202"/>
      <c r="E72" s="205"/>
      <c r="F72" s="428">
        <v>2</v>
      </c>
      <c r="G72" s="267" t="str" cm="1">
        <f t="array" ref="G72">_xlfn.SWITCH(F72,1,(A74),2,(""),3,(A76),4,(A73),5,(A75),6,(A75),7,(0),8,0,)</f>
        <v/>
      </c>
      <c r="H72" s="303" t="s">
        <v>163</v>
      </c>
      <c r="I72" s="1"/>
    </row>
    <row r="73" spans="1:12" x14ac:dyDescent="0.25">
      <c r="A73" s="2" t="str">
        <f>Language!B570</f>
        <v>S3 Standard</v>
      </c>
      <c r="B73" s="1">
        <v>310</v>
      </c>
      <c r="D73" s="715">
        <v>942</v>
      </c>
      <c r="E73" s="2">
        <v>4630000</v>
      </c>
      <c r="F73" s="430"/>
      <c r="G73" s="267" t="str" cm="1">
        <f t="array" ref="G73">_xlfn.SWITCH(F72,1,(D74),2,("0"),3,(D76),4,(D73),5,(D75),6,(D75),7,(0),8,0,)</f>
        <v>0</v>
      </c>
      <c r="H73" s="212" t="s">
        <v>43</v>
      </c>
      <c r="I73" s="271" t="s">
        <v>73</v>
      </c>
      <c r="L73" s="227"/>
    </row>
    <row r="74" spans="1:12" x14ac:dyDescent="0.25">
      <c r="A74" s="2" t="str">
        <f>Language!B571</f>
        <v xml:space="preserve"> Enhandsbroms, höger</v>
      </c>
      <c r="B74" s="1">
        <v>400</v>
      </c>
      <c r="D74" s="715">
        <v>1650</v>
      </c>
      <c r="E74" s="2" t="str">
        <f>367&amp;I76</f>
        <v>3673639</v>
      </c>
      <c r="F74" s="430"/>
      <c r="I74" s="195" t="s">
        <v>78</v>
      </c>
      <c r="J74" s="1" t="s">
        <v>79</v>
      </c>
      <c r="K74" s="1" t="s">
        <v>80</v>
      </c>
      <c r="L74" s="196"/>
    </row>
    <row r="75" spans="1:12" x14ac:dyDescent="0.25">
      <c r="A75" s="2" t="str">
        <f>Language!B572</f>
        <v xml:space="preserve"> Enhandsbroms, vänster</v>
      </c>
      <c r="B75" s="1">
        <v>400</v>
      </c>
      <c r="D75" s="715">
        <v>1650</v>
      </c>
      <c r="E75" s="2" t="str">
        <f>368&amp;I76</f>
        <v>3683639</v>
      </c>
      <c r="F75" s="430"/>
      <c r="G75" s="182" t="str" cm="1">
        <f t="array" ref="G75">_xlfn.SWITCH(F72,1,(E74),2,(""),3,(E76),4,(E73),5,(E75),6,(E75),7,(" "),8,0,)</f>
        <v/>
      </c>
      <c r="H75" s="212" t="s">
        <v>52</v>
      </c>
      <c r="I75" s="197">
        <v>3033</v>
      </c>
      <c r="J75">
        <v>3639</v>
      </c>
      <c r="K75">
        <v>4245</v>
      </c>
      <c r="L75" s="227"/>
    </row>
    <row r="76" spans="1:12" x14ac:dyDescent="0.25">
      <c r="A76" s="2" t="str">
        <f>Language!B573</f>
        <v>Vårdarbroms</v>
      </c>
      <c r="B76" s="1">
        <v>3500</v>
      </c>
      <c r="D76" s="479" t="str">
        <f>IF(E76=0,"0",(VLOOKUP(E76,GP!$A$1:$C$5787,3,FALSE)))</f>
        <v>0</v>
      </c>
      <c r="E76" s="2">
        <f>'U3 models'!J80</f>
        <v>0</v>
      </c>
      <c r="F76" s="430"/>
      <c r="I76" s="228" cm="1">
        <f t="array" ref="I76">_xlfn.SWITCH(F16,1,("NA"),2,(I75),3,(J75),4,(J75),5,(K75),6,(K75),7,(J75),8,("NA"),9,(" "),)</f>
        <v>3639</v>
      </c>
      <c r="J76" s="238"/>
      <c r="K76" s="238"/>
      <c r="L76" s="226"/>
    </row>
    <row r="77" spans="1:12" x14ac:dyDescent="0.25">
      <c r="A77" s="2"/>
      <c r="B77" s="189">
        <f>G77</f>
        <v>0</v>
      </c>
      <c r="C77" s="735"/>
      <c r="D77" s="723" t="str">
        <f>G73</f>
        <v>0</v>
      </c>
      <c r="E77" s="164" t="str">
        <f>G75</f>
        <v/>
      </c>
      <c r="F77" s="430"/>
      <c r="G77" s="182" cm="1">
        <f t="array" ref="G77">_xlfn.SWITCH(F72,1,(B74),2,(0),3,(B76),4,(B73),5,(B75),6,(B75),7,(0),8,0,)</f>
        <v>0</v>
      </c>
      <c r="H77" s="212" t="s">
        <v>69</v>
      </c>
    </row>
    <row r="78" spans="1:12" x14ac:dyDescent="0.25">
      <c r="A78" s="222" t="s">
        <v>72</v>
      </c>
      <c r="B78" s="204"/>
      <c r="C78" s="276"/>
      <c r="D78" s="202"/>
      <c r="E78" s="205"/>
      <c r="F78" s="428">
        <v>47</v>
      </c>
    </row>
    <row r="79" spans="1:12" x14ac:dyDescent="0.25">
      <c r="A79" s="2" t="str">
        <f>Language!B575</f>
        <v>24" Std Däck Right Run</v>
      </c>
      <c r="B79" s="1">
        <v>2800</v>
      </c>
      <c r="D79" s="479">
        <f>IF(E79=0,"0",(VLOOKUP(E79,GP!$A$1:$C$5787,3,FALSE)))</f>
        <v>1825</v>
      </c>
      <c r="E79" s="2">
        <v>1300000</v>
      </c>
      <c r="F79" s="734">
        <v>17</v>
      </c>
    </row>
    <row r="80" spans="1:12" x14ac:dyDescent="0.25">
      <c r="A80" s="2" t="str">
        <f>Language!B576</f>
        <v>24" Std Däck Marathon Plus</v>
      </c>
      <c r="B80" s="1">
        <v>3340</v>
      </c>
      <c r="D80" s="479">
        <f>IF(E80=0,"0",(VLOOKUP(E80,GP!$A$1:$C$5787,3,FALSE)))</f>
        <v>2031</v>
      </c>
      <c r="E80" s="2">
        <v>1300002</v>
      </c>
      <c r="F80" s="734">
        <v>6</v>
      </c>
    </row>
    <row r="81" spans="1:9" x14ac:dyDescent="0.25">
      <c r="A81" s="2" t="str">
        <f>Language!B577</f>
        <v>24" Std Däck Grovmönst.</v>
      </c>
      <c r="B81" s="1">
        <v>2980</v>
      </c>
      <c r="D81" s="479">
        <f>IF(E81=0,"0",(VLOOKUP(E81,GP!$A$1:$C$5787,3,FALSE)))</f>
        <v>2221</v>
      </c>
      <c r="E81" s="2">
        <v>1300003</v>
      </c>
      <c r="F81" s="734">
        <v>7</v>
      </c>
    </row>
    <row r="82" spans="1:9" x14ac:dyDescent="0.25">
      <c r="A82" s="2" t="str">
        <f>Language!B578</f>
        <v>24" Std Däck PU-massiva</v>
      </c>
      <c r="B82" s="1">
        <v>3320</v>
      </c>
      <c r="D82" s="479">
        <f>IF(E82=0,"0",(VLOOKUP(E82,GP!$A$1:$C$5787,3,FALSE)))</f>
        <v>2390</v>
      </c>
      <c r="E82" s="2">
        <v>1300001</v>
      </c>
      <c r="F82" s="734">
        <v>8</v>
      </c>
    </row>
    <row r="83" spans="1:9" x14ac:dyDescent="0.25">
      <c r="A83" s="2" t="str">
        <f>Language!B579</f>
        <v>22" Std Däck Right Run</v>
      </c>
      <c r="B83" s="1">
        <v>2500</v>
      </c>
      <c r="D83" s="479">
        <f>IF(E83=0,"0",(VLOOKUP(E83,GP!$A$1:$C$5787,3,FALSE)))</f>
        <v>1825</v>
      </c>
      <c r="E83" s="2">
        <v>1310000</v>
      </c>
      <c r="F83" s="734">
        <v>3</v>
      </c>
    </row>
    <row r="84" spans="1:9" x14ac:dyDescent="0.25">
      <c r="A84" s="2" t="str">
        <f>Language!B580</f>
        <v>22" Std Däck Marathon Plus</v>
      </c>
      <c r="B84" s="1">
        <v>3040</v>
      </c>
      <c r="D84" s="479">
        <f>IF(E84=0,"0",(VLOOKUP(E84,GP!$A$1:$C$5787,3,FALSE)))</f>
        <v>2031</v>
      </c>
      <c r="E84" s="2">
        <v>1310002</v>
      </c>
      <c r="F84" s="734">
        <v>44</v>
      </c>
      <c r="G84" s="267" t="str" cm="1">
        <f t="array" ref="G84">_xlfn.SWITCH(F78,1,(A84),2,(A94),3,(A83),4,(A95),5,(A95),6,(A80),7,(A81),8,(A82),9,(A82),10,(A86),11,(A86),12,(A87),13,(A87),14,(A88),15,(A88),17,(A79),18,(A79),19,(A89),20,(A89),23,(A90),27,(A91),35,(A92),43,(A93),44,(A84),46,(A85),47,(""),)</f>
        <v/>
      </c>
      <c r="H84" s="303" t="s">
        <v>163</v>
      </c>
    </row>
    <row r="85" spans="1:9" x14ac:dyDescent="0.25">
      <c r="A85" s="2" t="str">
        <f>Language!B581</f>
        <v>22" Std Däck PU-massiva</v>
      </c>
      <c r="B85" s="1">
        <v>2680</v>
      </c>
      <c r="D85" s="479">
        <f>IF(E85=0,"0",(VLOOKUP(E85,GP!$A$1:$C$5787,3,FALSE)))</f>
        <v>2390</v>
      </c>
      <c r="E85" s="2">
        <v>1310001</v>
      </c>
      <c r="F85" s="734">
        <v>46</v>
      </c>
    </row>
    <row r="86" spans="1:9" x14ac:dyDescent="0.25">
      <c r="A86" s="2" t="str">
        <f>Language!B582</f>
        <v>25" Spinergy X Däck Right Run</v>
      </c>
      <c r="B86" s="1">
        <v>2441</v>
      </c>
      <c r="D86" s="479">
        <f>IF(E86=0,"0",(VLOOKUP(E86,GP!$A$1:$C$5787,3,FALSE)))</f>
        <v>3548</v>
      </c>
      <c r="E86" s="2">
        <v>1100155</v>
      </c>
      <c r="F86" s="734">
        <v>10</v>
      </c>
      <c r="G86" s="182" cm="1">
        <f t="array" ref="G86">_xlfn.SWITCH(F78,1,(B84),2,(B94),3,(B83),4,(B95),5,(B95),6,(B80),7,(B81),8,(B82),9,(B82),10,(B86),11,(B86),12,(B87),13,(B87),14,(B88),15,(B88),17,(B79),18,(B79),19,(B89),20,(B89),23,(B90),27,(B91),35,(B92),43,(B93),44,(B84),46,(B85),47,(0),)</f>
        <v>0</v>
      </c>
      <c r="H86" s="212" t="s">
        <v>69</v>
      </c>
    </row>
    <row r="87" spans="1:9" x14ac:dyDescent="0.25">
      <c r="A87" s="2" t="str">
        <f>Language!B583</f>
        <v>25" Spinergy X Däck Marat. Plus</v>
      </c>
      <c r="B87" s="1">
        <v>2980</v>
      </c>
      <c r="D87" s="479">
        <f>IF(E87=0,"0",(VLOOKUP(E87,GP!$A$1:$C$5787,3,FALSE)))</f>
        <v>3737</v>
      </c>
      <c r="E87" s="2">
        <v>1100275</v>
      </c>
      <c r="F87" s="734">
        <v>12</v>
      </c>
    </row>
    <row r="88" spans="1:9" x14ac:dyDescent="0.25">
      <c r="A88" s="2" t="str">
        <f>Language!B584</f>
        <v>26" Spinergy X Däck Right Run</v>
      </c>
      <c r="B88" s="1">
        <v>2601</v>
      </c>
      <c r="D88" s="479">
        <f>IF(E88=0,"0",(VLOOKUP(E88,GP!$A$1:$C$5787,3,FALSE)))</f>
        <v>3548</v>
      </c>
      <c r="E88" s="2">
        <v>1100156</v>
      </c>
      <c r="F88" s="734">
        <v>14</v>
      </c>
      <c r="G88" s="182" cm="1">
        <f t="array" ref="G88">_xlfn.SWITCH(F78,1,(D84),2,(D94),3,(D83),4,(D95),5,(D95),6,(D80),7,(D81),8,(D82),9,(D82),10,(D86),11,(D86),12,(D87),13,(D87),14,(D88),15,(D88),17,(D79),18,(D79),19,(D89),20,(D89),23,(D90),27,(D91),35,(D92),43,(D93),44,(D84),46,(D85),47,(0),)</f>
        <v>0</v>
      </c>
      <c r="H88" s="212" t="s">
        <v>43</v>
      </c>
    </row>
    <row r="89" spans="1:9" x14ac:dyDescent="0.25">
      <c r="A89" s="2" t="str">
        <f>Language!B585</f>
        <v>26" Spinergy X Däck Marat. Plus</v>
      </c>
      <c r="B89" s="1">
        <v>3140</v>
      </c>
      <c r="D89" s="479">
        <f>IF(E89=0,"0",(VLOOKUP(E89,GP!$A$1:$C$5787,3,FALSE)))</f>
        <v>3737</v>
      </c>
      <c r="E89" s="2">
        <v>1100276</v>
      </c>
      <c r="F89" s="734">
        <v>19</v>
      </c>
      <c r="G89" s="241"/>
    </row>
    <row r="90" spans="1:9" x14ac:dyDescent="0.25">
      <c r="A90" s="2" t="str">
        <f>Language!B586</f>
        <v>25" Spinergy X Däck  Right Run Vit</v>
      </c>
      <c r="B90" s="1">
        <v>2441</v>
      </c>
      <c r="D90" s="479">
        <f>IF(E90=0,"0",(VLOOKUP(E90,GP!$A$1:$C$5787,3,FALSE)))</f>
        <v>3548</v>
      </c>
      <c r="E90" s="2">
        <v>1100165</v>
      </c>
      <c r="F90" s="734">
        <v>23</v>
      </c>
      <c r="G90" s="182" t="str" cm="1">
        <f t="array" ref="G90">_xlfn.SWITCH(F78,1,(E84),2,(E94),3,(22),4,(24),5,(E95),6,(24),7,(24),8,(24),9,(E82),10,(25),11,(E86),12,(25),13,(E87),14,(26),15,(E88),17,(24),18,(E79),19,(26),20,(E89),23,(25),27,(25),35,(26),43,(26),44,(22),46,(22),47,(""),)</f>
        <v/>
      </c>
      <c r="H90" s="212" t="s">
        <v>83</v>
      </c>
      <c r="I90" s="183" cm="1">
        <f t="array" ref="I90">_xlfn.SWITCH(F78,2,(24),3,(22),4,(24),6,(24),7,(24),8,(24),10,(25),12,(25),14,(26),17,(24),19,(26),23,(25),27,(25),35,(26),43,(26),44,(22),46,(22),)</f>
        <v>0</v>
      </c>
    </row>
    <row r="91" spans="1:9" x14ac:dyDescent="0.25">
      <c r="A91" s="2" t="str">
        <f>Language!B587</f>
        <v>25" Spinergy X Däck Marat. Plus Vit</v>
      </c>
      <c r="B91" s="1">
        <v>2980</v>
      </c>
      <c r="D91" s="479">
        <f>IF(E91=0,"0",(VLOOKUP(E91,GP!$A$1:$C$5787,3,FALSE)))</f>
        <v>3737</v>
      </c>
      <c r="E91" s="2">
        <v>1100285</v>
      </c>
      <c r="F91" s="734">
        <v>27</v>
      </c>
    </row>
    <row r="92" spans="1:9" x14ac:dyDescent="0.25">
      <c r="A92" s="2" t="str">
        <f>Language!B588</f>
        <v>26" Spinergy X Right Run White</v>
      </c>
      <c r="B92" s="1">
        <v>2601</v>
      </c>
      <c r="D92" s="479">
        <f>IF(E92=0,"0",(VLOOKUP(E92,GP!$A$1:$C$5787,3,FALSE)))</f>
        <v>3548</v>
      </c>
      <c r="E92" s="2">
        <v>1100166</v>
      </c>
      <c r="F92" s="734">
        <v>35</v>
      </c>
    </row>
    <row r="93" spans="1:9" x14ac:dyDescent="0.25">
      <c r="A93" s="2" t="str">
        <f>Language!B589</f>
        <v>26" Spinergy X Däck Marat. Plus White</v>
      </c>
      <c r="B93" s="1">
        <v>3140</v>
      </c>
      <c r="D93" s="479">
        <f>IF(E93=0,"0",(VLOOKUP(E93,GP!$A$1:$C$5787,3,FALSE)))</f>
        <v>3737</v>
      </c>
      <c r="E93" s="2">
        <v>1100286</v>
      </c>
      <c r="F93" s="734">
        <v>43</v>
      </c>
      <c r="G93" s="182" t="str" cm="1">
        <f t="array" ref="G93">_xlfn.SWITCH(F78,1,(E84),2,(E94),3,(E83),4,(E95),5,(E95),6,(E80),7,(E81),8,(E82),9,(E82),10,(E86),11,(E86),12,(E87),13,(E87),14,(E88),15,(E88),17,(E79),18,(E79),19,(E89),20,(E89),23,(E90),27,(E91),35,(E92),43,(E93),44,(E84),46,(E85),47,(""),)</f>
        <v/>
      </c>
      <c r="H93" s="212" t="s">
        <v>52</v>
      </c>
    </row>
    <row r="94" spans="1:9" x14ac:dyDescent="0.25">
      <c r="A94" s="2" t="str">
        <f>Language!B590</f>
        <v>Enhandsdrift</v>
      </c>
      <c r="B94" s="1">
        <v>3500</v>
      </c>
      <c r="D94" s="479" t="str">
        <f>IF(E94=0,"0",(VLOOKUP(E94,GP!$A$1:$C$5787,3,FALSE)))</f>
        <v>0</v>
      </c>
      <c r="E94" s="2">
        <f>'S3 models'!J91</f>
        <v>0</v>
      </c>
      <c r="F94" s="734">
        <v>2</v>
      </c>
    </row>
    <row r="95" spans="1:9" x14ac:dyDescent="0.25">
      <c r="A95" s="2" t="str">
        <f>Language!B591</f>
        <v>Drivhjul 24x2" MTB</v>
      </c>
      <c r="B95" s="1">
        <v>4280</v>
      </c>
      <c r="D95" s="479">
        <f>IF(E95=0,"0",(VLOOKUP(E95,GP!$A$1:$C$5787,3,FALSE)))</f>
        <v>3032</v>
      </c>
      <c r="E95" s="2">
        <v>1102462</v>
      </c>
      <c r="F95" s="734">
        <v>4</v>
      </c>
    </row>
    <row r="96" spans="1:9" x14ac:dyDescent="0.25">
      <c r="A96" s="2"/>
      <c r="B96" s="189">
        <f>G86</f>
        <v>0</v>
      </c>
      <c r="C96" s="735"/>
      <c r="D96" s="723">
        <f>(G88)*2</f>
        <v>0</v>
      </c>
      <c r="E96" s="164" t="str">
        <f>G93</f>
        <v/>
      </c>
      <c r="F96" s="430" t="s">
        <v>4845</v>
      </c>
    </row>
    <row r="97" spans="1:10" x14ac:dyDescent="0.25">
      <c r="A97" s="2"/>
      <c r="B97" s="1"/>
      <c r="F97" s="430"/>
    </row>
    <row r="98" spans="1:10" x14ac:dyDescent="0.25">
      <c r="A98" s="254" t="s">
        <v>98</v>
      </c>
      <c r="B98" s="204"/>
      <c r="C98" s="276"/>
      <c r="D98" s="202"/>
      <c r="E98" s="205"/>
      <c r="F98" s="428" t="b">
        <v>0</v>
      </c>
      <c r="G98" s="182" t="str" cm="1">
        <f t="array" ref="G98">_xlfn.SWITCH(F78,2,(A99),3,("NA"),4,(A99),6,(A99),7,(A99),8,(A99),10,(A100),12,(A100),14,(A101),17,(A99),19,(A101),23,(A100),27,(A100),35,(A101),43,(A101),44,("NA"),46,("NA"),47,(""),)</f>
        <v/>
      </c>
      <c r="H98" s="303" t="s">
        <v>163</v>
      </c>
    </row>
    <row r="99" spans="1:10" x14ac:dyDescent="0.25">
      <c r="A99" s="2" t="str">
        <f>Language!B593</f>
        <v xml:space="preserve"> reTyre Traction 24” kpl par</v>
      </c>
      <c r="B99" s="181"/>
      <c r="C99" s="466"/>
      <c r="D99" s="1">
        <f>IF(E99=0,"0",(VLOOKUP(E99,GP!$A$1:$C$5787,3,FALSE)))</f>
        <v>1300</v>
      </c>
      <c r="E99" s="181">
        <v>1100300</v>
      </c>
      <c r="F99" s="430"/>
      <c r="G99" s="267" t="str" cm="1">
        <f t="array" ref="G99">_xlfn.SWITCH(F98,TRUE,(D99),"0")</f>
        <v>0</v>
      </c>
      <c r="H99" s="212" t="s">
        <v>43</v>
      </c>
      <c r="J99" t="str" cm="1">
        <f t="array" ref="J99">_xlfn.SWITCH(F124,TRUE,(G123),"")</f>
        <v/>
      </c>
    </row>
    <row r="100" spans="1:10" x14ac:dyDescent="0.25">
      <c r="A100" s="2" t="str">
        <f>Language!B594</f>
        <v xml:space="preserve"> reTyre Traction 25”  kpl par</v>
      </c>
      <c r="B100" s="181"/>
      <c r="C100" s="466"/>
      <c r="D100" s="1">
        <f>IF(E100=0,"0",(VLOOKUP(E100,GP!$A$1:$C$5787,3,FALSE)))</f>
        <v>1300</v>
      </c>
      <c r="E100" s="181">
        <v>1100305</v>
      </c>
      <c r="F100" s="430"/>
      <c r="J100" t="str" cm="1">
        <f t="array" ref="J100">_xlfn.SWITCH(F98,TRUE,(G123),"")</f>
        <v/>
      </c>
    </row>
    <row r="101" spans="1:10" x14ac:dyDescent="0.25">
      <c r="A101" s="2" t="str">
        <f>Language!B595</f>
        <v xml:space="preserve"> reTyre Traction 26”  kpl par</v>
      </c>
      <c r="B101" s="181"/>
      <c r="C101" s="466"/>
      <c r="D101" s="1">
        <f>IF(E101=0,"0",(VLOOKUP(E101,GP!$A$1:$C$5787,3,FALSE)))</f>
        <v>1300</v>
      </c>
      <c r="E101" s="181">
        <v>1100306</v>
      </c>
      <c r="F101" s="430"/>
      <c r="G101" s="267" t="str">
        <f>1100&amp;I101</f>
        <v>11000</v>
      </c>
      <c r="H101" s="212" t="s">
        <v>52</v>
      </c>
      <c r="I101" s="469" cm="1">
        <f t="array" ref="I101">_xlfn.SWITCH(F78,2,("300"),3,("NA"),4,("300"),6,("300"),7,("300"),8,("300"),10,("305"),12,("305"),14,("306"),17,("300"),19,("306"),23,("305"),27,("305"),35,("306"),43,("306"),44,("NA"),46,("NA"),)</f>
        <v>0</v>
      </c>
      <c r="J101" t="s">
        <v>162</v>
      </c>
    </row>
    <row r="102" spans="1:10" x14ac:dyDescent="0.25">
      <c r="A102" s="181"/>
      <c r="B102" s="737">
        <v>0</v>
      </c>
      <c r="C102" s="736"/>
      <c r="D102" s="732" t="str">
        <f>G99</f>
        <v>0</v>
      </c>
      <c r="E102" s="267" t="str" cm="1">
        <f t="array" ref="E102">_xlfn.SWITCH(F98,TRUE,(G101),"")</f>
        <v/>
      </c>
      <c r="F102" s="430"/>
    </row>
    <row r="103" spans="1:10" x14ac:dyDescent="0.25">
      <c r="A103" s="222" t="s">
        <v>77</v>
      </c>
      <c r="B103" s="204"/>
      <c r="C103" s="276"/>
      <c r="D103" s="202"/>
      <c r="E103" s="205"/>
      <c r="F103" s="428">
        <v>6</v>
      </c>
    </row>
    <row r="104" spans="1:10" x14ac:dyDescent="0.25">
      <c r="A104" s="2" t="str">
        <f>Language!B597</f>
        <v>Titan</v>
      </c>
      <c r="B104" s="1">
        <v>700</v>
      </c>
      <c r="D104" s="479">
        <v>1045</v>
      </c>
      <c r="E104" s="2" t="str">
        <f>190&amp;G90&amp;11</f>
        <v>19011</v>
      </c>
      <c r="F104" s="430"/>
      <c r="G104" s="267" t="str" cm="1">
        <f t="array" ref="G104">_xlfn.SWITCH(F103,1,(A104),2,(A105),3,(A106),4,(A107),5,(A108),6,(""),7,(A80),8,(A81),9,(A82),11,(A86),13,(A87),15,(A88),18,(A79),20,(A89),24,(A90),28,(A91),36,(A92),44,(A93),)</f>
        <v/>
      </c>
      <c r="H104" s="303" t="s">
        <v>163</v>
      </c>
    </row>
    <row r="105" spans="1:10" x14ac:dyDescent="0.25">
      <c r="A105" s="2" t="str">
        <f>Language!B598</f>
        <v>Paragrip</v>
      </c>
      <c r="B105" s="1">
        <v>1260</v>
      </c>
      <c r="D105" s="479">
        <v>1010</v>
      </c>
      <c r="E105" s="2" t="str">
        <f>19051&amp;G90&amp;"BT"</f>
        <v>19051BT</v>
      </c>
      <c r="F105" s="430"/>
      <c r="G105" s="182" cm="1">
        <f t="array" ref="G105">_xlfn.SWITCH(F103,1,(D104),2,(D105),3,(D106),4,(D107),5,(D108),6,(0),7,(D80),8,(D81),9,(D82),11,(D86),13,(D87),15,(D88),18,(D79),20,(D89),24,(D90),28,(D91),36,(D92),44,(D93),)</f>
        <v>0</v>
      </c>
      <c r="H105" s="212" t="s">
        <v>43</v>
      </c>
    </row>
    <row r="106" spans="1:10" x14ac:dyDescent="0.25">
      <c r="A106" s="2" t="str">
        <f>Language!B599</f>
        <v>Tetragrip</v>
      </c>
      <c r="B106" s="1">
        <v>1300</v>
      </c>
      <c r="D106" s="479">
        <v>1010</v>
      </c>
      <c r="E106" s="2" t="str">
        <f>19052&amp;G90&amp;"BT"</f>
        <v>19052BT</v>
      </c>
      <c r="F106" s="430"/>
      <c r="G106" s="182" cm="1">
        <f t="array" ref="G106">_xlfn.SWITCH(F103,1,(B104),2,(B105),3,(B106),4,(B107),5,(B108),6,(0),7,(B80),8,(B81),9,(B82),11,(B86),13,(B87),15,(B88),18,(B79),20,(B89),24,(B90),28,(B91),36,(B92),44,(B93),)</f>
        <v>0</v>
      </c>
      <c r="H106" s="212" t="s">
        <v>69</v>
      </c>
    </row>
    <row r="107" spans="1:10" x14ac:dyDescent="0.25">
      <c r="A107" s="2" t="str">
        <f>Language!B600</f>
        <v>Maxgrip</v>
      </c>
      <c r="B107" s="1">
        <v>1200</v>
      </c>
      <c r="D107" s="479">
        <v>1326</v>
      </c>
      <c r="E107" s="2">
        <v>1903060</v>
      </c>
      <c r="F107" s="430"/>
      <c r="G107" s="267" t="str" cm="1">
        <f t="array" ref="G107">_xlfn.SWITCH(F103,1,(E104),2,(E105),3,(E106),4,(E107),5,(E108),6,(""),7,(E80),8,(E81),9,(E82),11,(E86),13,(E87),15,(E88),18,(E79),20,(E89),24,(E90),28,(E91),36,(E92),44,(E93),)</f>
        <v/>
      </c>
      <c r="H107" s="212" t="s">
        <v>52</v>
      </c>
    </row>
    <row r="108" spans="1:10" x14ac:dyDescent="0.25">
      <c r="A108" s="2" t="str">
        <f>Language!B601</f>
        <v>Aluminium</v>
      </c>
      <c r="B108" s="1">
        <v>640</v>
      </c>
      <c r="D108" s="479">
        <v>1283</v>
      </c>
      <c r="E108" s="2" t="str">
        <f>190&amp;G108</f>
        <v>1900</v>
      </c>
      <c r="F108" s="430"/>
      <c r="G108" s="182" cm="1">
        <f t="array" ref="G108">_xlfn.SWITCH(F78,1,("N/A"),2,(A18),3,("N/A"),4,(""),5,(2430),6,(2430),7,(2430),8,(2430),9,(2430),10,(4405),12,(4405),14,(4406),17,(2430),19,(4406),23,(4405),27,(4405),35,(4406),43,(4406),45,("N/A"),46,("N/A"),)</f>
        <v>0</v>
      </c>
      <c r="H108" s="212" t="s">
        <v>124</v>
      </c>
    </row>
    <row r="109" spans="1:10" x14ac:dyDescent="0.25">
      <c r="B109" s="189">
        <f>G106</f>
        <v>0</v>
      </c>
      <c r="C109" s="735"/>
      <c r="D109" s="725">
        <f>(G105)*2</f>
        <v>0</v>
      </c>
      <c r="E109" s="164" t="str">
        <f>G107</f>
        <v/>
      </c>
      <c r="F109" s="430" t="s">
        <v>84</v>
      </c>
    </row>
    <row r="110" spans="1:10" x14ac:dyDescent="0.25">
      <c r="A110" s="201" t="s">
        <v>85</v>
      </c>
      <c r="B110" s="204"/>
      <c r="C110" s="276"/>
      <c r="D110" s="202"/>
      <c r="E110" s="205"/>
      <c r="F110" s="430"/>
      <c r="G110" s="267" t="str" cm="1">
        <f t="array" ref="G110">_xlfn.SWITCH(F111,1,(A112),2,(A113),3,(A114),4,(A115),5,(A111),6,(""),7,(0),8,0,)</f>
        <v/>
      </c>
      <c r="H110" s="303" t="s">
        <v>163</v>
      </c>
    </row>
    <row r="111" spans="1:10" x14ac:dyDescent="0.25">
      <c r="A111" s="2" t="str">
        <f>Language!B603</f>
        <v>Sidoskydd S3</v>
      </c>
      <c r="B111" s="1">
        <v>628</v>
      </c>
      <c r="D111" s="715">
        <v>1660</v>
      </c>
      <c r="E111" s="2" t="str">
        <f>440&amp;G90&amp;30</f>
        <v>44030</v>
      </c>
      <c r="F111" s="428">
        <v>6</v>
      </c>
      <c r="G111" s="182" t="str" cm="1">
        <f t="array" ref="G111">_xlfn.SWITCH(F78,1,("NA"),2,(A18),3,("NA"),4,(12),5,(E94),6,(12),7,(12),8,(12),9,(12),10,(12),12,(12),14,(13),17,(12),19,(13),23,(12),27,(12),35,(13),43,(13),46,("NA"),47,(""),)</f>
        <v/>
      </c>
      <c r="H111" t="s">
        <v>159</v>
      </c>
    </row>
    <row r="112" spans="1:10" x14ac:dyDescent="0.25">
      <c r="A112" s="2" t="str">
        <f>Language!B604</f>
        <v>Armstöd</v>
      </c>
      <c r="B112" s="1">
        <v>1530</v>
      </c>
      <c r="D112" s="715">
        <v>2770</v>
      </c>
      <c r="E112" s="2" t="str">
        <f>440&amp;G111&amp;"00"</f>
        <v>44000</v>
      </c>
      <c r="F112" s="430"/>
      <c r="G112" s="267" t="str" cm="1">
        <f t="array" ref="G112">_xlfn.SWITCH(F111,1,(E112),2,(E113),3,(E114),4,(E115),5,(E111),6,(""),7,(" "),8,0,)</f>
        <v/>
      </c>
      <c r="H112" s="183" t="str" cm="1">
        <f t="array" ref="H112">_xlfn.SWITCH(F78,1,(E84),2,(E94),3,("NA"),4,(1030),5,(E95),6,(1030),7,(1030),8,(1030),9,(E82),10,(1530),11,(E86),12,(1530),13,(E87),14,(1630),15,(E88),17,(1030),18,(E79),19,(1630),20,(E89),23,(1530),27,(1530),35,(1630),43,(1630),44,("NA"),46,("NA"),47,(""),)</f>
        <v/>
      </c>
      <c r="I112" t="s">
        <v>86</v>
      </c>
      <c r="J112" s="212" t="s">
        <v>52</v>
      </c>
    </row>
    <row r="113" spans="1:12" x14ac:dyDescent="0.25">
      <c r="A113" s="2" t="str">
        <f>Language!B605</f>
        <v>Carbon Utan skärm</v>
      </c>
      <c r="B113" s="1">
        <v>750</v>
      </c>
      <c r="D113" s="715">
        <v>3730</v>
      </c>
      <c r="E113" s="2" t="str">
        <f>442&amp;H112</f>
        <v>442</v>
      </c>
      <c r="F113" s="430"/>
      <c r="H113" s="265" t="str" cm="1">
        <f t="array" ref="H113">_xlfn.SWITCH(F78,1,(E84),2,(E94),3,("NA"),4,(2030),5,(E95),6,(2030),7,(1030),8,(2030),9,(E82),10,(2530),11,(E86),12,(2530),13,(E87),14,(2630),15,(E88),17,(2030),18,(E79),19,(2630),20,(E89),23,(2630),27,(2530),35,(2630),43,(2630),44,("NA"),46,("NA"),47,(""),)</f>
        <v/>
      </c>
      <c r="I113" t="s">
        <v>87</v>
      </c>
    </row>
    <row r="114" spans="1:12" x14ac:dyDescent="0.25">
      <c r="A114" s="2" t="str">
        <f>Language!B606</f>
        <v>Carbon Liten skärm</v>
      </c>
      <c r="B114" s="1">
        <v>800</v>
      </c>
      <c r="D114" s="715">
        <v>3730</v>
      </c>
      <c r="E114" s="2" t="str">
        <f>442&amp;H113</f>
        <v>442</v>
      </c>
      <c r="F114" s="430"/>
      <c r="H114" s="183" t="str" cm="1">
        <f t="array" ref="H114">_xlfn.SWITCH(F78,1,(E84),2,(E94),3,("NA"),4,(3030),5,(E95),6,(3030),7,(3070),8,(3030),9,(E82),10,(3530),11,(E86),12,(3530),13,(E87),14,(26),15,(E88),17,(3030),18,(E79),19,(3630),20,(E89),23,(3530),27,(3530),35,(3630),43,(3630),44,("NA"),46,("NA"),47,(""),)</f>
        <v/>
      </c>
      <c r="I114" t="s">
        <v>88</v>
      </c>
    </row>
    <row r="115" spans="1:12" x14ac:dyDescent="0.25">
      <c r="A115" s="2" t="str">
        <f>Language!B607</f>
        <v>Carbon Stor skärm</v>
      </c>
      <c r="B115" s="1">
        <v>900</v>
      </c>
      <c r="D115" s="715">
        <v>3730</v>
      </c>
      <c r="E115" s="2" t="str">
        <f>442&amp;H114</f>
        <v>442</v>
      </c>
      <c r="F115" s="430"/>
      <c r="G115" s="267" t="str" cm="1">
        <f t="array" ref="G115">_xlfn.SWITCH(F111,1,(D112),2,(D113),3,(D114),4,(D115),5,(D111),6,("0"),7,(" "),8,0,)</f>
        <v>0</v>
      </c>
      <c r="H115" s="212" t="s">
        <v>43</v>
      </c>
    </row>
    <row r="116" spans="1:12" x14ac:dyDescent="0.25">
      <c r="A116" s="242"/>
      <c r="B116" s="189" t="str">
        <f>G116</f>
        <v>0</v>
      </c>
      <c r="C116" s="738"/>
      <c r="D116" s="725" t="str">
        <f>G115</f>
        <v>0</v>
      </c>
      <c r="E116" s="164" t="str">
        <f>G112</f>
        <v/>
      </c>
      <c r="F116" s="430"/>
      <c r="G116" s="267" t="str" cm="1">
        <f t="array" ref="G116">_xlfn.SWITCH(F111,1,(B112),2,(B113),3,(B114),4,(B115),5,(B111),6,("0"),7,(0),8,0,)</f>
        <v>0</v>
      </c>
      <c r="H116" s="212" t="s">
        <v>69</v>
      </c>
    </row>
    <row r="117" spans="1:12" x14ac:dyDescent="0.25">
      <c r="A117" s="2"/>
      <c r="B117" s="1"/>
      <c r="F117" s="428">
        <v>3</v>
      </c>
    </row>
    <row r="118" spans="1:12" x14ac:dyDescent="0.25">
      <c r="A118" s="2" t="str">
        <f>Language!B608</f>
        <v>Körhandtag HS</v>
      </c>
      <c r="B118" s="1">
        <v>712</v>
      </c>
      <c r="D118" s="715">
        <v>1925</v>
      </c>
      <c r="E118" s="2" t="s">
        <v>45</v>
      </c>
      <c r="F118" s="430"/>
      <c r="G118" s="267" t="str" cm="1">
        <f t="array" ref="G118">_xlfn.SWITCH(F117,1,(A118),2,(A119),3,(""),4,(A120),5,(A121),6,(A67),7,(0),8,0,)</f>
        <v/>
      </c>
      <c r="H118" s="303" t="s">
        <v>163</v>
      </c>
    </row>
    <row r="119" spans="1:12" x14ac:dyDescent="0.25">
      <c r="A119" s="2" t="str">
        <f>Language!B609</f>
        <v>Körhandtag HS +10cm</v>
      </c>
      <c r="B119" s="1">
        <v>950</v>
      </c>
      <c r="D119" s="715">
        <v>1925</v>
      </c>
      <c r="E119" s="2" t="s">
        <v>15</v>
      </c>
      <c r="F119" s="430"/>
      <c r="G119" s="267" t="str" cm="1">
        <f t="array" ref="G119">_xlfn.SWITCH(F117,1,(B118),2,(B119),3,("0"),4,(B120),5,(B121),6,(B67),7,(0),8,0,)</f>
        <v>0</v>
      </c>
      <c r="H119" s="212" t="s">
        <v>69</v>
      </c>
    </row>
    <row r="120" spans="1:12" x14ac:dyDescent="0.25">
      <c r="A120" s="2" t="str">
        <f>Language!B610</f>
        <v xml:space="preserve">Fällbara körhandtag </v>
      </c>
      <c r="B120" s="1">
        <v>244</v>
      </c>
      <c r="D120" s="715">
        <v>860</v>
      </c>
      <c r="E120" s="2">
        <v>4245000</v>
      </c>
      <c r="F120" s="430"/>
      <c r="G120" s="267" t="str" cm="1">
        <f t="array" ref="G120">_xlfn.SWITCH(F117,1,(E118),2,(E119),3,(""),4,(E120),5,(E121),6,(E67),7,(" "),8,0,)</f>
        <v/>
      </c>
      <c r="H120" s="212" t="s">
        <v>52</v>
      </c>
    </row>
    <row r="121" spans="1:12" x14ac:dyDescent="0.25">
      <c r="A121" s="2" t="str">
        <f>Language!B611</f>
        <v>Körbåge</v>
      </c>
      <c r="B121" s="1">
        <v>1040</v>
      </c>
      <c r="D121" s="715">
        <v>1361</v>
      </c>
      <c r="E121" s="2" t="str">
        <f>42400&amp;G24&amp;G35</f>
        <v>42400 VER2</v>
      </c>
      <c r="F121" s="430"/>
      <c r="G121" s="182" t="str" cm="1">
        <f t="array" ref="G121">_xlfn.SWITCH(F117,1,(D118),2,(D119),3,("0"),4,(D120),5,(D121),6,(D67),7,(0),8,0,)</f>
        <v>0</v>
      </c>
      <c r="H121" s="212" t="s">
        <v>43</v>
      </c>
    </row>
    <row r="122" spans="1:12" x14ac:dyDescent="0.25">
      <c r="A122" s="242"/>
      <c r="B122" s="189" t="str">
        <f>G119</f>
        <v>0</v>
      </c>
      <c r="C122" s="738"/>
      <c r="D122" s="723" t="str">
        <f>G121</f>
        <v>0</v>
      </c>
      <c r="E122" s="164" t="str">
        <f>G120</f>
        <v/>
      </c>
      <c r="F122" s="430"/>
      <c r="H122" s="303"/>
    </row>
    <row r="123" spans="1:12" x14ac:dyDescent="0.25">
      <c r="A123" s="2" t="str">
        <f>Language!B612</f>
        <v>Tippskydd</v>
      </c>
      <c r="B123" s="1">
        <v>570</v>
      </c>
      <c r="D123" s="479">
        <v>1218</v>
      </c>
      <c r="F123" s="430"/>
      <c r="G123" s="164" t="str">
        <f>435&amp;H123</f>
        <v>4353000</v>
      </c>
      <c r="H123" s="469" t="str" cm="1">
        <f t="array" ref="H123">_xlfn.SWITCH(F2,1,("3000"),2,("5000"),3,("3080"),4,("3000"),5,("3000"),6,("3000"),7,("3000"),8,(""),9,(" "),)</f>
        <v>3000</v>
      </c>
    </row>
    <row r="124" spans="1:12" x14ac:dyDescent="0.25">
      <c r="A124" s="242"/>
      <c r="B124" s="189" t="str" cm="1">
        <f t="array" ref="B124">_xlfn.SWITCH(F124,TRUE,(B123),"0")</f>
        <v>0</v>
      </c>
      <c r="C124" s="738"/>
      <c r="D124" s="723" t="str" cm="1">
        <f t="array" ref="D124">_xlfn.SWITCH(F124,TRUE,(D123),"0")</f>
        <v>0</v>
      </c>
      <c r="E124" s="164" t="str" cm="1">
        <f t="array" ref="E124">_xlfn.SWITCH(F124,TRUE,(G123),"")</f>
        <v/>
      </c>
      <c r="F124" s="428" t="b">
        <v>0</v>
      </c>
      <c r="G124" s="164" t="str" cm="1">
        <f t="array" ref="G124">_xlfn.SWITCH(F124,TRUE,(Language!B324),"")</f>
        <v/>
      </c>
    </row>
    <row r="125" spans="1:12" x14ac:dyDescent="0.25">
      <c r="A125" s="2"/>
      <c r="B125" s="1"/>
      <c r="F125" s="430"/>
      <c r="G125" s="182" t="str" cm="1">
        <f t="array" ref="G125">_xlfn.SWITCH(F126,1,("0"),2,(D119),3,(D65),4,(D127),5,(D126),6,(D126),7,(0),8,0,)</f>
        <v>0</v>
      </c>
      <c r="H125" s="212" t="s">
        <v>43</v>
      </c>
    </row>
    <row r="126" spans="1:12" x14ac:dyDescent="0.25">
      <c r="A126" s="2" t="str">
        <f>Language!B613</f>
        <v>Dyna 2.5 cm</v>
      </c>
      <c r="B126" s="1">
        <v>0</v>
      </c>
      <c r="D126" s="715">
        <v>836</v>
      </c>
      <c r="E126" s="2" t="str">
        <f>572&amp;G24&amp;J126</f>
        <v>572</v>
      </c>
      <c r="F126" s="428">
        <v>1</v>
      </c>
      <c r="G126" s="267" t="str" cm="1">
        <f t="array" ref="G126">_xlfn.SWITCH(F126,1,(""),2,(E119),3,(E65),4,(E127),5,(E126),6,(E126),7,(" "),8,0,)</f>
        <v/>
      </c>
      <c r="H126" s="212" t="s">
        <v>52</v>
      </c>
      <c r="J126" s="183" t="str" cm="1">
        <f t="array" ref="J126">_xlfn.SWITCH(F2,1,(40),2,(35),3,(35),4,(40),5,(""),6,(""),7,(""),8,(0),9,(""),)</f>
        <v/>
      </c>
      <c r="K126" s="212" t="s">
        <v>52</v>
      </c>
      <c r="L126" t="s">
        <v>5152</v>
      </c>
    </row>
    <row r="127" spans="1:12" x14ac:dyDescent="0.25">
      <c r="A127" s="2" t="str">
        <f>Language!B614</f>
        <v>Dyna 5 cm</v>
      </c>
      <c r="B127" s="1">
        <v>0</v>
      </c>
      <c r="D127" s="715">
        <v>836</v>
      </c>
      <c r="E127" s="2" t="str">
        <f>575&amp;G24&amp;J126</f>
        <v>575</v>
      </c>
      <c r="F127" s="430"/>
      <c r="G127" s="267" t="str" cm="1">
        <f t="array" ref="G127">_xlfn.SWITCH(F126,1,(""),2,(A119),3,(A65),4,(A127),5,(A126),6,(A126),7,(""),8,0,)</f>
        <v/>
      </c>
      <c r="H127" s="303" t="s">
        <v>163</v>
      </c>
    </row>
    <row r="128" spans="1:12" x14ac:dyDescent="0.25">
      <c r="A128" s="242"/>
      <c r="B128" s="189">
        <v>0</v>
      </c>
      <c r="C128" s="738"/>
      <c r="D128" s="725" t="str">
        <f>G125</f>
        <v>0</v>
      </c>
      <c r="E128" s="164" t="str">
        <f>G126</f>
        <v/>
      </c>
      <c r="F128" s="430"/>
    </row>
    <row r="129" spans="1:13" x14ac:dyDescent="0.25">
      <c r="A129" s="2" t="str">
        <f>Language!B615</f>
        <v>Kildyna</v>
      </c>
      <c r="B129" s="1"/>
      <c r="D129" s="479">
        <v>293</v>
      </c>
      <c r="E129" s="2" t="str">
        <f>57710&amp;G24</f>
        <v>57710</v>
      </c>
      <c r="F129" s="430"/>
      <c r="G129" s="267" t="str" cm="1">
        <f t="array" ref="G129">_xlfn.SWITCH(F130,TRUE,(Language!B324),"")</f>
        <v/>
      </c>
      <c r="H129" s="303" t="s">
        <v>163</v>
      </c>
    </row>
    <row r="130" spans="1:13" x14ac:dyDescent="0.25">
      <c r="A130" s="242"/>
      <c r="B130" s="189">
        <v>0</v>
      </c>
      <c r="C130" s="277"/>
      <c r="D130" s="723" t="str" cm="1">
        <f t="array" ref="D130">_xlfn.SWITCH(F130,TRUE,(D129),"0")</f>
        <v>0</v>
      </c>
      <c r="E130" s="164" t="str" cm="1">
        <f t="array" ref="E130">_xlfn.SWITCH(F130,TRUE,(E129),"")</f>
        <v/>
      </c>
      <c r="F130" s="428" t="b">
        <v>0</v>
      </c>
      <c r="G130" s="267" t="str" cm="1">
        <f t="array" ref="G130">_xlfn.SWITCH(F132,1,(B133),2,("0"),3,(B132),4,(A120),5,(A121),6,(A67),7,(""),8,0,)</f>
        <v>0</v>
      </c>
      <c r="H130" s="212" t="s">
        <v>69</v>
      </c>
    </row>
    <row r="131" spans="1:13" x14ac:dyDescent="0.25">
      <c r="A131" s="2"/>
      <c r="B131" s="1"/>
      <c r="F131" s="430"/>
      <c r="G131" s="182">
        <v>4500</v>
      </c>
      <c r="H131" s="164" cm="1">
        <f t="array" ref="H131">_xlfn.SWITCH(F78,2,("000"),3,("100"),4,("000""000"),6,("000"),7,("000"),8,("000"),10,("NA"),12,("NA"),14,("NA"),17,("000"),19,("NA"),23,("NA"),27,("NA"),35,("NA"),43,("NA"),44,("100"),46,("100"),)</f>
        <v>0</v>
      </c>
      <c r="I131" s="212" t="s">
        <v>52</v>
      </c>
      <c r="J131" t="s">
        <v>160</v>
      </c>
    </row>
    <row r="132" spans="1:13" x14ac:dyDescent="0.25">
      <c r="A132" s="2" t="str">
        <f>Language!B616</f>
        <v>Ekerskydd med logga</v>
      </c>
      <c r="B132" s="1">
        <v>417</v>
      </c>
      <c r="D132" s="479">
        <v>909</v>
      </c>
      <c r="E132" s="2" t="str">
        <f>4500&amp;H131</f>
        <v>45000</v>
      </c>
      <c r="F132" s="428">
        <v>2</v>
      </c>
      <c r="G132" s="266" t="str" cm="1">
        <f t="array" ref="G132">_xlfn.SWITCH(F132,1,(E133),2,(""),3,(E132),4,(E120),5,(E121),6,(E67),7,(" "),8,0,)</f>
        <v/>
      </c>
      <c r="H132" s="164" cm="1">
        <f t="array" ref="H132">_xlfn.SWITCH(F78,2,("011"),3,("111"),4,("011"),6,("011"),7,("011"),8,("011"),10,("NA"),12,("NA"),14,("NA"),17,("011"),19,("NA"),23,("NA"),27,("NA"),35,("NA"),43,("NA"),44,("111"),46,("111"),)</f>
        <v>0</v>
      </c>
      <c r="I132" s="212" t="s">
        <v>52</v>
      </c>
      <c r="J132" t="s">
        <v>161</v>
      </c>
    </row>
    <row r="133" spans="1:13" x14ac:dyDescent="0.25">
      <c r="A133" s="2" t="str">
        <f>Language!B617</f>
        <v>Ekerskydd utan logga</v>
      </c>
      <c r="B133" s="1">
        <v>417</v>
      </c>
      <c r="D133" s="479">
        <v>909</v>
      </c>
      <c r="E133" s="2" t="str">
        <f>4500&amp;H132</f>
        <v>45000</v>
      </c>
      <c r="F133" s="430"/>
      <c r="G133" s="267" cm="1">
        <f t="array" ref="G133">_xlfn.SWITCH(F132,1,(C133),2,(0),3,(C132),4,(C120),5,(C121),6,(C67),7,(0),8,0,)</f>
        <v>0</v>
      </c>
      <c r="H133" s="183" t="str" cm="1">
        <f t="array" ref="H133">_xlfn.SWITCH(F132,1,(D133),2,("0"),3,(D132),4,(A120),5,(A121),6,(A67),7,(""),8,0,)</f>
        <v>0</v>
      </c>
      <c r="I133" s="212" t="s">
        <v>43</v>
      </c>
    </row>
    <row r="134" spans="1:13" x14ac:dyDescent="0.25">
      <c r="A134" s="242"/>
      <c r="B134" s="189" t="str">
        <f>G130</f>
        <v>0</v>
      </c>
      <c r="C134" s="738"/>
      <c r="D134" s="725" t="str">
        <f>H133</f>
        <v>0</v>
      </c>
      <c r="E134" s="726" t="str">
        <f>G132</f>
        <v/>
      </c>
      <c r="F134" s="430"/>
      <c r="G134" s="267" t="str" cm="1">
        <f t="array" ref="G134">_xlfn.SWITCH(F132,1,(A133),2,(""),3,(A132),4,(A120),5,(A121),6,(A67),7,(""),8,0,)</f>
        <v/>
      </c>
      <c r="H134" s="303" t="s">
        <v>163</v>
      </c>
    </row>
    <row r="135" spans="1:13" x14ac:dyDescent="0.25">
      <c r="A135" s="2" t="str">
        <f>Language!B618</f>
        <v>Ekerskydd med tema</v>
      </c>
      <c r="B135" s="1"/>
      <c r="F135" s="430"/>
    </row>
    <row r="136" spans="1:13" x14ac:dyDescent="0.25">
      <c r="A136" s="2" t="str">
        <f>Language!B619</f>
        <v>Splash</v>
      </c>
      <c r="B136" s="1">
        <v>417</v>
      </c>
      <c r="D136" s="715">
        <v>1638</v>
      </c>
      <c r="E136" s="2" t="str">
        <f>45003&amp;G137</f>
        <v>450030</v>
      </c>
      <c r="F136" s="428">
        <v>5</v>
      </c>
      <c r="G136" s="267" t="str" cm="1">
        <f t="array" ref="G136">_xlfn.SWITCH(F136,1,(A136),2,(A137),3,(A138),4,(A139),5,(""),6,(A126),7,(0),8,0,)</f>
        <v/>
      </c>
      <c r="H136" s="303" t="s">
        <v>163</v>
      </c>
    </row>
    <row r="137" spans="1:13" x14ac:dyDescent="0.25">
      <c r="A137" s="2" t="str">
        <f>Language!B620</f>
        <v>Car rim</v>
      </c>
      <c r="B137" s="1">
        <v>417</v>
      </c>
      <c r="D137" s="715">
        <v>1638</v>
      </c>
      <c r="E137" s="2" t="str">
        <f>45001&amp;G137</f>
        <v>450010</v>
      </c>
      <c r="F137" s="430"/>
      <c r="G137" s="182" cm="1">
        <f t="array" ref="G137">_xlfn.SWITCH(F78,2,(24),3,(22),4,(24),6,(24),7,(24),8,(24),10,("NA"),12,("NA"),14,("NA"),17,(24),19,("NA"),23,("NA"),27,("NA"),35,("NA"),43,("NA"),44,(22),46,(22),)</f>
        <v>0</v>
      </c>
      <c r="H137" s="303" t="s">
        <v>162</v>
      </c>
    </row>
    <row r="138" spans="1:13" x14ac:dyDescent="0.25">
      <c r="A138" s="2" t="str">
        <f>Language!B621</f>
        <v>Wild animals</v>
      </c>
      <c r="B138" s="1">
        <v>417</v>
      </c>
      <c r="D138" s="715">
        <v>1638</v>
      </c>
      <c r="E138" s="2" t="str">
        <f>45004&amp;G137</f>
        <v>450040</v>
      </c>
      <c r="F138" s="430"/>
      <c r="G138" s="182" cm="1">
        <f t="array" ref="G138">_xlfn.SWITCH(F136,1,(B136),2,(B137),3,(B138),4,(B139),5,(0),6,(B126),7,(0),8,0,)</f>
        <v>0</v>
      </c>
      <c r="H138" s="212" t="s">
        <v>69</v>
      </c>
    </row>
    <row r="139" spans="1:13" x14ac:dyDescent="0.25">
      <c r="A139" s="2" t="str">
        <f>Language!B622</f>
        <v>Smiley</v>
      </c>
      <c r="B139" s="1">
        <v>417</v>
      </c>
      <c r="D139" s="715">
        <v>1638</v>
      </c>
      <c r="E139" s="2" t="str">
        <f>45002&amp;G137</f>
        <v>450020</v>
      </c>
      <c r="F139" s="430"/>
      <c r="G139" s="267" t="str" cm="1">
        <f t="array" ref="G139">_xlfn.SWITCH(F136,1,(E136),2,(E137),3,(E138),4,(E139),5,(""),6,(E126),7,(" "),8,0,)</f>
        <v/>
      </c>
      <c r="H139" s="212" t="s">
        <v>52</v>
      </c>
    </row>
    <row r="140" spans="1:13" x14ac:dyDescent="0.25">
      <c r="A140" s="242"/>
      <c r="B140" s="189">
        <f>G138</f>
        <v>0</v>
      </c>
      <c r="C140" s="744"/>
      <c r="D140" s="725">
        <f>G140</f>
        <v>0</v>
      </c>
      <c r="E140" s="726" t="str">
        <f>G139</f>
        <v/>
      </c>
      <c r="F140" s="430"/>
      <c r="G140" s="182" cm="1">
        <f t="array" ref="G140">_xlfn.SWITCH(F136,1,(D136),2,(D137),3,(D138),4,(D139),5,(0),6,(D126),7,(0),8,0,)</f>
        <v>0</v>
      </c>
      <c r="H140" s="212" t="s">
        <v>43</v>
      </c>
    </row>
    <row r="141" spans="1:13" x14ac:dyDescent="0.25">
      <c r="A141" s="2"/>
      <c r="B141" s="1"/>
      <c r="F141" s="430"/>
      <c r="G141" s="64" cm="1">
        <f t="array" ref="G141">_xlfn.SWITCH(F137,1,(D137),2,(D138),3,(D139),4,(D140),5,(0),6,(D127),7,(0),8,0,)</f>
        <v>0</v>
      </c>
    </row>
    <row r="142" spans="1:13" x14ac:dyDescent="0.25">
      <c r="A142" s="2" t="str">
        <f>Language!B623</f>
        <v>Rörskydd, fram</v>
      </c>
      <c r="B142" s="275" cm="1">
        <f t="array" ref="B142">_xlfn.SWITCH(F142,TRUE,(132),)</f>
        <v>0</v>
      </c>
      <c r="D142" s="725" cm="1">
        <f t="array" ref="D142">_xlfn.SWITCH(F142,TRUE,(L142),"0")*2</f>
        <v>0</v>
      </c>
      <c r="E142">
        <v>9900251</v>
      </c>
      <c r="F142" s="428" t="b">
        <v>0</v>
      </c>
      <c r="G142" s="228" t="str" cm="1">
        <f t="array" ref="G142">_xlfn.SWITCH(F142,TRUE,(Language!B641),"")</f>
        <v/>
      </c>
      <c r="H142" s="1">
        <v>132</v>
      </c>
      <c r="I142" s="228" t="str" cm="1">
        <f t="array" ref="I142">_xlfn.SWITCH(F142,TRUE,(E142),"")</f>
        <v/>
      </c>
      <c r="L142" s="183">
        <v>88</v>
      </c>
      <c r="M142" s="212" t="s">
        <v>43</v>
      </c>
    </row>
    <row r="143" spans="1:13" x14ac:dyDescent="0.25">
      <c r="A143" s="2" t="str">
        <f>Language!B624</f>
        <v>Rörskydd, Bak</v>
      </c>
      <c r="B143" s="275" cm="1">
        <f t="array" ref="B143">_xlfn.SWITCH(F143,TRUE,(66),)</f>
        <v>0</v>
      </c>
      <c r="D143" s="725" t="str" cm="1">
        <f t="array" ref="D143">_xlfn.SWITCH(F143,TRUE,(L143),"0")</f>
        <v>0</v>
      </c>
      <c r="E143">
        <v>9900251</v>
      </c>
      <c r="F143" s="428" t="b">
        <v>0</v>
      </c>
      <c r="G143" s="228" t="str" cm="1">
        <f t="array" ref="G143">_xlfn.SWITCH(F143,TRUE,(Language!B641),"")</f>
        <v/>
      </c>
      <c r="H143" s="1">
        <v>66</v>
      </c>
      <c r="I143" s="228" t="str" cm="1">
        <f t="array" ref="I143">_xlfn.SWITCH(F143,TRUE,(E143),"")</f>
        <v/>
      </c>
      <c r="L143" s="183">
        <v>88</v>
      </c>
      <c r="M143" s="212" t="s">
        <v>43</v>
      </c>
    </row>
    <row r="144" spans="1:13" x14ac:dyDescent="0.25">
      <c r="A144" s="2" t="str">
        <f>Language!B625</f>
        <v>Kryckkäpsshållare S3</v>
      </c>
      <c r="B144" s="275" cm="1">
        <f t="array" ref="B144">_xlfn.SWITCH(F144,TRUE,(46),)*('U3 models'!D140)</f>
        <v>0</v>
      </c>
      <c r="D144" s="725" cm="1">
        <f t="array" ref="D144">_xlfn.SWITCH(F144,TRUE,(L144),)*('U3 models'!D140)</f>
        <v>0</v>
      </c>
      <c r="E144">
        <v>9900301</v>
      </c>
      <c r="F144" s="428" t="b">
        <v>0</v>
      </c>
      <c r="G144" s="228" t="str" cm="1">
        <f t="array" ref="G144">_xlfn.SWITCH(F144,TRUE,(Language!B641),"")</f>
        <v/>
      </c>
      <c r="H144" s="1">
        <v>46</v>
      </c>
      <c r="I144" s="228" t="str" cm="1">
        <f t="array" ref="I144">_xlfn.SWITCH(F144,TRUE,(E144),"")</f>
        <v/>
      </c>
      <c r="L144" s="183">
        <v>293</v>
      </c>
      <c r="M144" s="212" t="s">
        <v>43</v>
      </c>
    </row>
    <row r="145" spans="1:13" x14ac:dyDescent="0.25">
      <c r="A145" s="2" t="str">
        <f>Language!B626</f>
        <v>Ryggkil</v>
      </c>
      <c r="B145" s="275" cm="1">
        <f t="array" ref="B145">_xlfn.SWITCH(F145,TRUE,(40),)*('U3 models'!D142)</f>
        <v>0</v>
      </c>
      <c r="D145" s="725" cm="1">
        <f t="array" ref="D145">_xlfn.SWITCH(F145,TRUE,(L145),)*('U3 models'!D142)</f>
        <v>0</v>
      </c>
      <c r="E145">
        <v>4710012</v>
      </c>
      <c r="F145" s="428" t="b">
        <v>0</v>
      </c>
      <c r="G145" s="228" t="str" cm="1">
        <f t="array" ref="G145">_xlfn.SWITCH(F145,TRUE,(Language!B641),"")</f>
        <v/>
      </c>
      <c r="H145" s="1">
        <v>40</v>
      </c>
      <c r="I145" s="228" t="str" cm="1">
        <f t="array" ref="I145">_xlfn.SWITCH(F145,TRUE,(E145),"")</f>
        <v/>
      </c>
      <c r="L145" s="183">
        <v>431</v>
      </c>
      <c r="M145" s="212" t="s">
        <v>43</v>
      </c>
    </row>
    <row r="146" spans="1:13" x14ac:dyDescent="0.25">
      <c r="A146" s="2" t="str">
        <f>Language!B627</f>
        <v>Freewheel</v>
      </c>
      <c r="B146" s="275" cm="1">
        <f t="array" ref="B146">_xlfn.SWITCH(F146,TRUE,(2600),)</f>
        <v>0</v>
      </c>
      <c r="D146" s="725" t="str" cm="1">
        <f t="array" ref="D146">_xlfn.SWITCH(F146,TRUE,(L146),"0")</f>
        <v>0</v>
      </c>
      <c r="E146" s="2" t="str">
        <f>'S3 models'!C148</f>
        <v>Välj Freewheel</v>
      </c>
      <c r="F146" s="428" t="b">
        <v>0</v>
      </c>
      <c r="G146" s="228" t="str" cm="1">
        <f t="array" ref="G146">_xlfn.SWITCH(F146,TRUE,(Language!B641),"")</f>
        <v/>
      </c>
      <c r="H146" s="1">
        <v>2600</v>
      </c>
      <c r="I146" s="228" t="str" cm="1">
        <f t="array" ref="I146">_xlfn.SWITCH(F146,TRUE,(E146),"")</f>
        <v/>
      </c>
      <c r="J146" s="64"/>
      <c r="K146" s="97" cm="1">
        <f t="array" ref="K146">_xlfn.SWITCH(C154,1,(Weights!A36),2,(Weights!A37),3,(Weights!A42),4,(Weights!A44),5,(Weights!A45),6,(Weights!A46),7,(0),8,0,)</f>
        <v>0</v>
      </c>
      <c r="L146" s="183">
        <v>5781</v>
      </c>
      <c r="M146" s="212" t="s">
        <v>43</v>
      </c>
    </row>
    <row r="147" spans="1:13" x14ac:dyDescent="0.25">
      <c r="A147" s="2" t="str">
        <f>Language!B628</f>
        <v>Bord S3</v>
      </c>
      <c r="B147" s="275" cm="1">
        <f t="array" ref="B147">_xlfn.SWITCH(F147,TRUE,(220),)</f>
        <v>0</v>
      </c>
      <c r="D147" s="725" t="str" cm="1">
        <f t="array" ref="D147">_xlfn.SWITCH(F147,TRUE,(L147),"0")</f>
        <v>0</v>
      </c>
      <c r="E147" s="2">
        <v>6810020</v>
      </c>
      <c r="F147" s="434" t="b">
        <v>0</v>
      </c>
      <c r="G147" s="228" t="str" cm="1">
        <f t="array" ref="G147">_xlfn.SWITCH(F147,TRUE,(Language!B641),"")</f>
        <v/>
      </c>
      <c r="H147" s="1">
        <v>0</v>
      </c>
      <c r="I147" s="228" t="str" cm="1">
        <f t="array" ref="I147">_xlfn.SWITCH(F147,TRUE,(E147),"")</f>
        <v/>
      </c>
      <c r="J147" s="64"/>
      <c r="K147" s="97"/>
      <c r="L147" s="183">
        <v>2077</v>
      </c>
      <c r="M147" s="212" t="s">
        <v>43</v>
      </c>
    </row>
    <row r="148" spans="1:13" x14ac:dyDescent="0.25">
      <c r="A148" s="68"/>
      <c r="B148" s="64"/>
      <c r="C148" s="57"/>
      <c r="D148" s="64"/>
      <c r="E148" s="64"/>
      <c r="F148" s="435"/>
      <c r="G148" s="50"/>
      <c r="H148" s="64"/>
      <c r="I148" s="130"/>
      <c r="J148" s="64"/>
      <c r="K148" s="97"/>
    </row>
    <row r="149" spans="1:13" ht="18.75" x14ac:dyDescent="0.3">
      <c r="A149" s="68"/>
      <c r="B149" s="250">
        <f>B10+B32+B42+B50+B55+B61+B68+B69+B70+B77+B96+B109+B116+B122+B124+B140+B142+B143+B144+B145+B146+B147</f>
        <v>0</v>
      </c>
      <c r="C149" s="747"/>
      <c r="D149" s="745">
        <f>D10+D15+D25+D42+D50+D55+D61+D68+D70+D77+D96+D102+D109+D116+D122+D124+D128+D130+D134+D140+D142+D143+D144+D145+D146+D147</f>
        <v>0</v>
      </c>
      <c r="E149" s="64"/>
      <c r="F149" s="435"/>
      <c r="G149" s="111"/>
      <c r="H149" s="64"/>
      <c r="I149" s="154"/>
      <c r="J149" s="64"/>
      <c r="K149" s="97"/>
    </row>
    <row r="150" spans="1:13" x14ac:dyDescent="0.25">
      <c r="A150" s="68"/>
      <c r="B150" s="64"/>
      <c r="C150" s="143"/>
      <c r="D150" s="50"/>
      <c r="E150" s="64"/>
      <c r="F150" s="436"/>
      <c r="H150" s="64"/>
      <c r="I150" s="154"/>
      <c r="J150" s="64"/>
      <c r="K150" s="97"/>
    </row>
    <row r="151" spans="1:13" x14ac:dyDescent="0.25">
      <c r="A151" s="152"/>
      <c r="B151" s="64"/>
      <c r="C151" s="143"/>
      <c r="D151" s="50"/>
      <c r="E151" s="153"/>
      <c r="F151" s="245"/>
      <c r="H151" s="64"/>
      <c r="I151" s="64"/>
      <c r="J151" s="64"/>
      <c r="K151" s="97"/>
    </row>
    <row r="152" spans="1:13" x14ac:dyDescent="0.25">
      <c r="A152" s="155"/>
      <c r="B152" s="64"/>
      <c r="C152" s="57"/>
      <c r="D152" s="57"/>
      <c r="E152" s="160"/>
      <c r="F152" s="245"/>
      <c r="H152" s="64"/>
      <c r="I152" s="64"/>
      <c r="J152" s="156"/>
      <c r="K152" s="97"/>
    </row>
    <row r="153" spans="1:13" x14ac:dyDescent="0.25">
      <c r="A153" s="155"/>
      <c r="B153" s="255" t="str">
        <f>Language!B629</f>
        <v>Sitthöjd</v>
      </c>
      <c r="C153" s="57"/>
      <c r="D153" s="57"/>
      <c r="E153" s="251" t="str">
        <f>Language!B635</f>
        <v>Välj Freewheel</v>
      </c>
      <c r="F153" s="245"/>
      <c r="H153" s="64" t="str" cm="1">
        <f t="array" ref="H153">_xlfn.SWITCH(F2,1,(Language!B79),2,("Standard=40 mm"),3,("Standard=60 mm"),4,("Standard=60 mm"),5,("Standard = 40 mm"),6,("Standrad =60 mm"),7,(Language!B81),8,(""),)</f>
        <v>Standard = 40 mm</v>
      </c>
      <c r="I153" s="64"/>
      <c r="J153" s="64"/>
      <c r="K153" s="97"/>
    </row>
    <row r="154" spans="1:13" x14ac:dyDescent="0.25">
      <c r="A154" s="155"/>
      <c r="B154" s="251" t="s">
        <v>23</v>
      </c>
      <c r="C154" s="57"/>
      <c r="D154" s="57"/>
      <c r="E154" s="251" t="str">
        <f>Language!B636</f>
        <v>Höjd 6-14cm, art: 2600102</v>
      </c>
      <c r="F154" s="245"/>
      <c r="H154" s="64"/>
      <c r="I154" s="64"/>
      <c r="J154" s="64"/>
      <c r="K154" s="97"/>
    </row>
    <row r="155" spans="1:13" x14ac:dyDescent="0.25">
      <c r="A155" s="155"/>
      <c r="B155" s="251" t="s">
        <v>27</v>
      </c>
      <c r="C155" s="57"/>
      <c r="D155" s="57"/>
      <c r="E155" s="251" t="str">
        <f>Language!B637</f>
        <v>Höjd 11,5-16,5cm, art: 2600105</v>
      </c>
      <c r="F155" s="245"/>
      <c r="H155" s="64"/>
      <c r="I155" s="64"/>
      <c r="J155" s="64"/>
      <c r="K155" s="97"/>
    </row>
    <row r="156" spans="1:13" x14ac:dyDescent="0.25">
      <c r="A156" s="155"/>
      <c r="B156" s="251" t="s">
        <v>24</v>
      </c>
      <c r="C156" s="57"/>
      <c r="D156" s="57"/>
      <c r="E156" s="251" t="str">
        <f>Language!B638</f>
        <v>Höjd 14-19 cm, art: 2600106</v>
      </c>
      <c r="F156" s="245"/>
      <c r="H156" s="64"/>
      <c r="I156" s="64"/>
      <c r="J156" s="64"/>
      <c r="K156" s="97"/>
    </row>
    <row r="157" spans="1:13" x14ac:dyDescent="0.25">
      <c r="A157" s="68"/>
      <c r="B157" s="251" t="s">
        <v>25</v>
      </c>
      <c r="C157" s="57"/>
      <c r="D157" s="57"/>
      <c r="E157" s="251" t="str">
        <f>Language!B639</f>
        <v>Höjd 16,5-21,5 cm, art: 2600107</v>
      </c>
      <c r="F157" s="245"/>
      <c r="H157" s="64"/>
      <c r="I157" s="64"/>
      <c r="J157" s="64"/>
      <c r="K157" s="97"/>
    </row>
    <row r="158" spans="1:13" x14ac:dyDescent="0.25">
      <c r="A158" s="68"/>
      <c r="B158" s="251" t="s">
        <v>26</v>
      </c>
      <c r="C158" s="57"/>
      <c r="D158" s="57"/>
      <c r="E158" s="251" t="str">
        <f>Language!B640</f>
        <v>Höjd 19-24 cm, art: 2600108</v>
      </c>
      <c r="F158" s="245"/>
      <c r="H158" s="64"/>
      <c r="I158" s="64"/>
      <c r="J158" s="64"/>
      <c r="K158" s="97"/>
    </row>
    <row r="159" spans="1:13" x14ac:dyDescent="0.25">
      <c r="A159" s="157"/>
      <c r="B159" s="251"/>
      <c r="C159" s="57"/>
      <c r="D159" s="57"/>
      <c r="E159" s="160"/>
      <c r="F159" s="245"/>
      <c r="H159" s="64"/>
      <c r="I159" s="64"/>
      <c r="J159" s="64"/>
      <c r="K159" s="97"/>
    </row>
    <row r="160" spans="1:13" x14ac:dyDescent="0.25">
      <c r="A160" s="157"/>
      <c r="B160" s="251"/>
      <c r="C160" s="57"/>
      <c r="D160" s="57"/>
      <c r="E160" s="160"/>
      <c r="F160" s="245"/>
      <c r="H160" s="64"/>
      <c r="I160" s="64"/>
      <c r="J160" s="64"/>
      <c r="K160" s="97"/>
    </row>
    <row r="161" spans="1:11" x14ac:dyDescent="0.25">
      <c r="A161" s="157"/>
      <c r="B161" s="251"/>
      <c r="C161" s="57"/>
      <c r="D161" s="57"/>
      <c r="E161" s="160"/>
      <c r="F161" s="245"/>
      <c r="H161" s="64"/>
      <c r="I161" s="64"/>
      <c r="J161" s="64"/>
      <c r="K161" s="97"/>
    </row>
    <row r="162" spans="1:11" x14ac:dyDescent="0.25">
      <c r="A162" s="157"/>
      <c r="B162" s="251"/>
      <c r="C162" s="57"/>
      <c r="D162" s="57"/>
      <c r="E162" s="160"/>
      <c r="F162" s="245"/>
      <c r="H162" s="64"/>
      <c r="I162" s="64"/>
      <c r="J162" s="64"/>
      <c r="K162" s="97"/>
    </row>
    <row r="163" spans="1:11" x14ac:dyDescent="0.25">
      <c r="A163" s="157"/>
      <c r="B163" s="251"/>
      <c r="C163" s="57"/>
      <c r="D163" s="57"/>
      <c r="E163" s="160"/>
      <c r="F163" s="245"/>
      <c r="H163" s="64"/>
      <c r="I163" s="64"/>
      <c r="J163" s="64"/>
      <c r="K163" s="97"/>
    </row>
    <row r="164" spans="1:11" x14ac:dyDescent="0.25">
      <c r="A164" s="157"/>
      <c r="B164" s="64"/>
      <c r="C164" s="57"/>
      <c r="D164" s="57"/>
      <c r="E164" s="160"/>
      <c r="F164" s="245"/>
      <c r="H164" s="64"/>
      <c r="I164" s="64"/>
      <c r="J164" s="64"/>
      <c r="K164" s="97"/>
    </row>
    <row r="165" spans="1:11" x14ac:dyDescent="0.25">
      <c r="A165" s="68"/>
      <c r="B165" s="64"/>
      <c r="C165" s="57"/>
      <c r="D165" s="57"/>
      <c r="E165" s="160"/>
      <c r="F165" s="245"/>
      <c r="H165" s="64"/>
      <c r="I165" s="64"/>
      <c r="J165" s="64"/>
      <c r="K165" s="97"/>
    </row>
    <row r="166" spans="1:11" x14ac:dyDescent="0.25">
      <c r="A166" s="68"/>
      <c r="B166" s="64"/>
      <c r="C166" s="57"/>
      <c r="D166" s="57"/>
      <c r="E166" s="160"/>
      <c r="F166" s="245"/>
      <c r="H166" s="64"/>
      <c r="I166" s="64"/>
      <c r="J166" s="64"/>
      <c r="K166" s="97"/>
    </row>
    <row r="167" spans="1:11" x14ac:dyDescent="0.25">
      <c r="A167" s="68"/>
      <c r="B167" s="64"/>
      <c r="C167" s="57"/>
      <c r="D167" s="57"/>
      <c r="E167" s="160"/>
      <c r="F167" s="245"/>
      <c r="H167" s="64"/>
      <c r="I167" s="64"/>
      <c r="J167" s="64"/>
      <c r="K167" s="97"/>
    </row>
    <row r="168" spans="1:11" x14ac:dyDescent="0.25">
      <c r="A168" s="68"/>
      <c r="B168" s="64"/>
      <c r="C168" s="57"/>
      <c r="D168" s="57"/>
      <c r="E168" s="160"/>
      <c r="F168" s="245"/>
      <c r="H168" s="64"/>
      <c r="I168" s="64"/>
    </row>
    <row r="169" spans="1:11" ht="15" x14ac:dyDescent="0.25">
      <c r="A169" s="131"/>
      <c r="B169" s="132"/>
      <c r="C169" s="57"/>
      <c r="D169" s="57"/>
      <c r="E169" s="160"/>
      <c r="F169" s="246"/>
      <c r="H169" s="64"/>
      <c r="I169" s="64"/>
    </row>
    <row r="170" spans="1:11" ht="15" x14ac:dyDescent="0.25">
      <c r="C170" s="57"/>
      <c r="D170" s="57"/>
      <c r="E170" s="247"/>
      <c r="F170" s="246"/>
      <c r="H170" s="64"/>
      <c r="I170" s="64"/>
    </row>
    <row r="171" spans="1:11" ht="15" x14ac:dyDescent="0.25">
      <c r="C171" s="57"/>
      <c r="D171" s="57"/>
      <c r="E171" s="247"/>
      <c r="F171" s="246"/>
    </row>
    <row r="172" spans="1:11" x14ac:dyDescent="0.25">
      <c r="C172" s="57"/>
      <c r="D172" s="57"/>
      <c r="E172" s="247"/>
    </row>
    <row r="543" spans="2:2" x14ac:dyDescent="0.25">
      <c r="B543" s="14"/>
    </row>
    <row r="544" spans="2:2" x14ac:dyDescent="0.25">
      <c r="B544" s="14"/>
    </row>
    <row r="545" spans="2:2" x14ac:dyDescent="0.25">
      <c r="B545" s="14"/>
    </row>
    <row r="546" spans="2:2" x14ac:dyDescent="0.25">
      <c r="B546" s="14"/>
    </row>
    <row r="547" spans="2:2" x14ac:dyDescent="0.25">
      <c r="B547" s="14"/>
    </row>
    <row r="548" spans="2:2" x14ac:dyDescent="0.25">
      <c r="B548" s="14"/>
    </row>
    <row r="553" spans="2:2" x14ac:dyDescent="0.25">
      <c r="B553" s="14"/>
    </row>
    <row r="554" spans="2:2" x14ac:dyDescent="0.25">
      <c r="B554" s="14" t="s">
        <v>4738</v>
      </c>
    </row>
    <row r="555" spans="2:2" x14ac:dyDescent="0.25">
      <c r="B555" t="s">
        <v>288</v>
      </c>
    </row>
    <row r="556" spans="2:2" x14ac:dyDescent="0.25">
      <c r="B556" t="s">
        <v>4739</v>
      </c>
    </row>
    <row r="557" spans="2:2" x14ac:dyDescent="0.25">
      <c r="B557" t="s">
        <v>289</v>
      </c>
    </row>
    <row r="558" spans="2:2" x14ac:dyDescent="0.25">
      <c r="B558" t="s">
        <v>290</v>
      </c>
    </row>
    <row r="559" spans="2:2" x14ac:dyDescent="0.25">
      <c r="B559" t="s">
        <v>4740</v>
      </c>
    </row>
    <row r="561" spans="2:2" x14ac:dyDescent="0.25">
      <c r="B561" s="14"/>
    </row>
    <row r="562" spans="2:2" x14ac:dyDescent="0.25">
      <c r="B562" s="14"/>
    </row>
    <row r="563" spans="2:2" x14ac:dyDescent="0.25">
      <c r="B563" s="14"/>
    </row>
    <row r="564" spans="2:2" x14ac:dyDescent="0.25">
      <c r="B564" s="14"/>
    </row>
    <row r="565" spans="2:2" x14ac:dyDescent="0.25">
      <c r="B565" s="14"/>
    </row>
    <row r="566" spans="2:2" x14ac:dyDescent="0.25">
      <c r="B566" s="14"/>
    </row>
    <row r="572" spans="2:2" x14ac:dyDescent="0.25">
      <c r="B572" s="14"/>
    </row>
    <row r="573" spans="2:2" x14ac:dyDescent="0.25">
      <c r="B573" s="14"/>
    </row>
  </sheetData>
  <sheetProtection sheet="1" objects="1" scenarios="1"/>
  <pageMargins left="0.7" right="0.7" top="0.75" bottom="0.75" header="0.3" footer="0.3"/>
  <ignoredErrors>
    <ignoredError sqref="C123 C103 B142:B143 C125 C129 B146:B148" unlockedFormula="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61E21-E1BF-4AC7-BDBC-03B8CD5734DF}">
  <sheetPr codeName="Sheet6"/>
  <dimension ref="A1:O849"/>
  <sheetViews>
    <sheetView showGridLines="0" zoomScale="150" zoomScaleNormal="150" workbookViewId="0">
      <pane ySplit="3" topLeftCell="A4" activePane="bottomLeft" state="frozen"/>
      <selection activeCell="K107" sqref="K107"/>
      <selection pane="bottomLeft" activeCell="L10" sqref="L10"/>
    </sheetView>
  </sheetViews>
  <sheetFormatPr defaultRowHeight="15" x14ac:dyDescent="0.25"/>
  <cols>
    <col min="1" max="1" width="12.5703125" style="14" customWidth="1"/>
    <col min="2" max="2" width="6.5703125" customWidth="1"/>
    <col min="3" max="8" width="9.7109375" customWidth="1"/>
    <col min="9" max="9" width="9.7109375" style="124" customWidth="1"/>
    <col min="10" max="10" width="9.7109375" customWidth="1"/>
    <col min="11" max="11" width="10.5703125" style="1" customWidth="1"/>
    <col min="12" max="12" width="9.140625" style="1"/>
    <col min="13" max="13" width="9.5703125" customWidth="1"/>
  </cols>
  <sheetData>
    <row r="1" spans="1:14" x14ac:dyDescent="0.25">
      <c r="I1" s="529" t="str">
        <f>Language!B646</f>
        <v>Sammanställning:</v>
      </c>
      <c r="J1" s="507"/>
    </row>
    <row r="2" spans="1:14" ht="24.75" customHeight="1" x14ac:dyDescent="0.3">
      <c r="B2" s="812" t="str">
        <f>Language!B645</f>
        <v>Beställningsguide Panthera S3 Swing modeller</v>
      </c>
      <c r="C2" s="812"/>
      <c r="D2" s="812"/>
      <c r="E2" s="812"/>
      <c r="F2" s="812"/>
      <c r="G2" s="812"/>
      <c r="H2" s="875" t="str">
        <f>Language!B957</f>
        <v>Pris:</v>
      </c>
      <c r="I2" s="772">
        <f>Weights_Swing!D150</f>
        <v>0</v>
      </c>
      <c r="J2" s="664"/>
      <c r="K2" s="334"/>
      <c r="L2" s="81"/>
      <c r="M2" s="19"/>
    </row>
    <row r="3" spans="1:14" ht="20.25" customHeight="1" x14ac:dyDescent="0.25">
      <c r="A3" s="649" t="str">
        <f>Language!B648</f>
        <v>startsida</v>
      </c>
      <c r="B3" s="649" t="str">
        <f>Language!B13</f>
        <v>UPP</v>
      </c>
      <c r="C3" s="649"/>
      <c r="D3" s="55"/>
      <c r="E3" s="55" t="str">
        <f>Language!B650</f>
        <v>Vikt:</v>
      </c>
      <c r="F3" s="560">
        <f>Weights_Swing!B150</f>
        <v>0</v>
      </c>
      <c r="G3" s="133" t="s">
        <v>28</v>
      </c>
      <c r="H3" s="871" t="str">
        <f>Language!B15</f>
        <v>Art.nr &amp; vikt ändras beronde på valen som görs i guiden.</v>
      </c>
      <c r="I3" s="871"/>
      <c r="J3" s="871"/>
      <c r="K3" s="97"/>
      <c r="L3" s="81"/>
      <c r="M3" s="19"/>
    </row>
    <row r="4" spans="1:14" ht="6.75" customHeight="1" x14ac:dyDescent="0.25">
      <c r="G4" s="6"/>
      <c r="H4" s="13"/>
    </row>
    <row r="5" spans="1:14" x14ac:dyDescent="0.25">
      <c r="A5" s="557" t="str">
        <f>Language!B651</f>
        <v>Utprovad av:</v>
      </c>
      <c r="B5" s="813"/>
      <c r="C5" s="814"/>
      <c r="D5" s="815"/>
      <c r="E5" s="557" t="str">
        <f>Language!B654</f>
        <v>Tel:</v>
      </c>
      <c r="F5" s="862"/>
      <c r="G5" s="862"/>
      <c r="H5" s="796" t="str">
        <f>Language!B659</f>
        <v xml:space="preserve">Spara guiden till "skrivbordet" och öppna </v>
      </c>
      <c r="I5" s="796"/>
      <c r="J5" s="796"/>
      <c r="K5" s="139"/>
      <c r="L5" s="135"/>
      <c r="M5" s="144"/>
    </row>
    <row r="6" spans="1:14" x14ac:dyDescent="0.25">
      <c r="A6" s="557" t="str">
        <f>Language!B652</f>
        <v>E-post:</v>
      </c>
      <c r="B6" s="818"/>
      <c r="C6" s="819"/>
      <c r="D6" s="820"/>
      <c r="E6" s="557" t="str">
        <f>Language!B655</f>
        <v>Datum:</v>
      </c>
      <c r="F6" s="863"/>
      <c r="G6" s="863"/>
      <c r="H6" s="796" t="str">
        <f>Language!B660</f>
        <v>den med Excel. Bygg din rullstol genom att</v>
      </c>
      <c r="I6" s="796"/>
      <c r="J6" s="796"/>
      <c r="K6" s="140"/>
      <c r="L6" s="135"/>
      <c r="M6" s="144"/>
    </row>
    <row r="7" spans="1:14" x14ac:dyDescent="0.25">
      <c r="A7" s="557" t="str">
        <f>Language!B653</f>
        <v>Utprovad för:</v>
      </c>
      <c r="B7" s="813"/>
      <c r="C7" s="814"/>
      <c r="D7" s="815"/>
      <c r="E7" s="2"/>
      <c r="F7" s="335"/>
      <c r="G7" s="30"/>
      <c r="H7" s="796" t="str">
        <f>Language!B661</f>
        <v xml:space="preserve">klicka i cirklarna. Blå, fet text är </v>
      </c>
      <c r="I7" s="796"/>
      <c r="J7" s="796"/>
      <c r="K7" s="140"/>
      <c r="L7" s="147"/>
    </row>
    <row r="8" spans="1:14" x14ac:dyDescent="0.25">
      <c r="A8" s="72"/>
      <c r="B8" s="336"/>
      <c r="C8" s="336"/>
      <c r="D8" s="336"/>
      <c r="E8" s="72"/>
      <c r="F8" s="335"/>
      <c r="G8" s="74"/>
      <c r="H8" s="796" t="str">
        <f>Language!B662</f>
        <v>en länk för att visa info eller bild</v>
      </c>
      <c r="I8" s="796"/>
      <c r="J8" s="796"/>
      <c r="K8" s="140"/>
      <c r="L8" s="147"/>
      <c r="M8" s="137"/>
      <c r="N8" s="145"/>
    </row>
    <row r="9" spans="1:14" x14ac:dyDescent="0.25">
      <c r="A9" s="72"/>
      <c r="B9" s="336"/>
      <c r="C9" s="336"/>
      <c r="D9" s="336"/>
      <c r="E9" s="72"/>
      <c r="F9" s="335"/>
      <c r="G9" s="74"/>
      <c r="H9" s="796" t="str">
        <f>Language!B663</f>
        <v>BB = sittbredd, HH= ryggstödshöjd</v>
      </c>
      <c r="I9" s="796"/>
      <c r="J9" s="796"/>
      <c r="K9" s="140"/>
      <c r="L9" s="147"/>
      <c r="M9" s="31"/>
      <c r="N9" s="3"/>
    </row>
    <row r="10" spans="1:14" x14ac:dyDescent="0.25">
      <c r="A10" s="872" t="str">
        <f>Language!B664</f>
        <v>S3 Swing har delade, undanfällbara benstöd och en justerbar bakaxel av kolfiber. För att hitta en balansering som passar dig kan bakaxeln flyttas till olika lägen.</v>
      </c>
      <c r="B10" s="872"/>
      <c r="C10" s="872"/>
      <c r="D10" s="872"/>
      <c r="E10" s="872"/>
      <c r="F10" s="872"/>
      <c r="G10" s="872"/>
      <c r="H10" s="872"/>
      <c r="I10" s="872"/>
      <c r="J10" s="872"/>
      <c r="K10" s="140"/>
      <c r="L10" s="147"/>
      <c r="M10" s="31"/>
      <c r="N10" s="3"/>
    </row>
    <row r="11" spans="1:14" x14ac:dyDescent="0.25">
      <c r="A11" s="873" t="str">
        <f>Language!B665</f>
        <v>Ange önskat mått under "Inställningar". S3 Swing har sitthöjd 45 cm fram och 43 bak, utan dyna. För att justera sitthöjden kan andra storlekar av drivhjul eller ett förhöjningskit</v>
      </c>
      <c r="B11" s="873"/>
      <c r="C11" s="873"/>
      <c r="D11" s="873"/>
      <c r="E11" s="873"/>
      <c r="F11" s="873"/>
      <c r="G11" s="873"/>
      <c r="H11" s="873"/>
      <c r="I11" s="873"/>
      <c r="J11" s="873"/>
      <c r="K11" s="140"/>
      <c r="L11" s="147"/>
      <c r="M11" s="31"/>
      <c r="N11" s="3"/>
    </row>
    <row r="12" spans="1:14" x14ac:dyDescent="0.25">
      <c r="A12" s="874" t="str">
        <f>Language!B666</f>
        <v>och passande framgaffel väljas från tillvalslistan.            Max brukarvikt är 100 kg för sittbredd 36-42 och 150kg för sittbredd 45-50 cm</v>
      </c>
      <c r="B12" s="874"/>
      <c r="C12" s="874"/>
      <c r="D12" s="874"/>
      <c r="E12" s="874"/>
      <c r="F12" s="874"/>
      <c r="G12" s="874"/>
      <c r="H12" s="874"/>
      <c r="I12" s="874"/>
      <c r="J12" s="874"/>
      <c r="K12" s="140"/>
      <c r="L12" s="147"/>
      <c r="M12" s="31"/>
      <c r="N12" s="3"/>
    </row>
    <row r="13" spans="1:14" x14ac:dyDescent="0.25">
      <c r="A13" s="72"/>
      <c r="B13" s="336"/>
      <c r="C13" s="336"/>
      <c r="D13" s="336"/>
      <c r="E13" s="72"/>
      <c r="F13" s="335"/>
      <c r="G13" s="74"/>
      <c r="H13" s="9"/>
      <c r="I13" s="9"/>
      <c r="J13" s="9"/>
      <c r="K13" s="140"/>
      <c r="L13" s="147"/>
      <c r="M13" s="31"/>
      <c r="N13" s="3"/>
    </row>
    <row r="14" spans="1:14" x14ac:dyDescent="0.25">
      <c r="A14" s="298"/>
      <c r="B14" s="682" t="str">
        <f>Language!B667</f>
        <v>1) S3 Swing modell</v>
      </c>
      <c r="C14" s="337"/>
      <c r="D14" s="337"/>
      <c r="E14" s="304"/>
      <c r="F14" s="338"/>
      <c r="G14" s="300"/>
      <c r="H14" s="304"/>
      <c r="I14" s="306"/>
      <c r="J14" s="307"/>
      <c r="K14" s="140"/>
      <c r="L14" s="147"/>
      <c r="M14" s="3"/>
      <c r="N14" s="49"/>
    </row>
    <row r="15" spans="1:14" x14ac:dyDescent="0.25">
      <c r="A15" s="78"/>
      <c r="B15" s="336"/>
      <c r="C15" s="336"/>
      <c r="D15" s="336"/>
      <c r="E15" s="72"/>
      <c r="F15" s="335"/>
      <c r="G15" s="74"/>
      <c r="H15" s="75"/>
      <c r="I15" s="125"/>
      <c r="J15" s="76"/>
      <c r="K15" s="140"/>
      <c r="L15" s="147"/>
      <c r="M15" s="3"/>
      <c r="N15" s="49"/>
    </row>
    <row r="16" spans="1:14" x14ac:dyDescent="0.25">
      <c r="A16" s="78"/>
      <c r="B16" s="561" t="str">
        <f>Language!B668</f>
        <v>S3 Swing</v>
      </c>
      <c r="C16" s="512"/>
      <c r="D16" s="278"/>
      <c r="E16" s="15" t="str">
        <f>Language!B672</f>
        <v>Sittbredd 36-50 cm, Sitsdjup 40 cm</v>
      </c>
      <c r="F16" s="341"/>
      <c r="G16" s="30"/>
      <c r="H16" s="1"/>
      <c r="J16" s="76"/>
      <c r="K16" s="49"/>
      <c r="L16" s="147"/>
      <c r="M16" s="3"/>
      <c r="N16" s="49"/>
    </row>
    <row r="17" spans="1:15" x14ac:dyDescent="0.25">
      <c r="A17" s="78"/>
      <c r="B17" s="561" t="str">
        <f>Language!B669</f>
        <v>S3 Swing Kort</v>
      </c>
      <c r="C17" s="680"/>
      <c r="D17" s="278"/>
      <c r="E17" s="15" t="str">
        <f>Language!B673</f>
        <v>Sittbredd 33-39 cm, Sitsdjup 35 cm</v>
      </c>
      <c r="F17" s="341"/>
      <c r="G17" s="30"/>
      <c r="H17" s="1"/>
      <c r="J17" s="76"/>
      <c r="K17" s="49"/>
      <c r="L17" s="147"/>
      <c r="M17" s="3"/>
      <c r="N17" s="49"/>
    </row>
    <row r="18" spans="1:15" x14ac:dyDescent="0.25">
      <c r="A18" s="78"/>
      <c r="B18" s="561" t="str">
        <f>Language!B670</f>
        <v>S3 Swing Låg 0°</v>
      </c>
      <c r="C18" s="512"/>
      <c r="D18" s="278"/>
      <c r="E18" s="15" t="str">
        <f>Language!B674</f>
        <v>Sittbredd 39-50 cm, Sitsdjup 35, 37.5, 40 cm (bredd 45cm) 37.5, 40 cm ---&gt;</v>
      </c>
      <c r="F18" s="341"/>
      <c r="G18" s="30"/>
      <c r="H18" s="1"/>
      <c r="K18" s="140"/>
      <c r="L18" s="147"/>
      <c r="M18" s="3"/>
      <c r="N18" s="49"/>
    </row>
    <row r="19" spans="1:15" x14ac:dyDescent="0.25">
      <c r="A19" s="78"/>
      <c r="B19" s="681"/>
      <c r="C19" s="680"/>
      <c r="D19" s="278"/>
      <c r="E19" s="15"/>
      <c r="F19" s="824" t="str">
        <f>Language!B675</f>
        <v xml:space="preserve">         &gt; --- ( bredd 50 cm) cm, Sitsdjup 35 cm.</v>
      </c>
      <c r="G19" s="824"/>
      <c r="H19" s="824"/>
      <c r="I19" s="491"/>
      <c r="J19" s="491"/>
      <c r="K19" s="140"/>
      <c r="L19" s="147"/>
      <c r="M19" s="3"/>
      <c r="N19" s="49"/>
    </row>
    <row r="20" spans="1:15" x14ac:dyDescent="0.25">
      <c r="A20" s="78"/>
      <c r="B20" s="561" t="str">
        <f>Language!B671</f>
        <v>S3 Swing Lång</v>
      </c>
      <c r="C20" s="512"/>
      <c r="D20" s="278"/>
      <c r="E20" s="15" t="str">
        <f>Language!B676</f>
        <v xml:space="preserve">Sittbredd 36-50 cm, Sitsdjup 37.5, 40, 42.5, 50 cm </v>
      </c>
      <c r="F20" s="341"/>
      <c r="G20" s="30"/>
      <c r="H20" s="1"/>
      <c r="K20" s="140" t="s">
        <v>167</v>
      </c>
      <c r="L20" s="147"/>
      <c r="M20" s="3"/>
      <c r="N20" s="49"/>
    </row>
    <row r="21" spans="1:15" x14ac:dyDescent="0.25">
      <c r="A21" s="78"/>
      <c r="B21" s="489"/>
      <c r="C21" s="340"/>
      <c r="D21" s="278"/>
      <c r="E21" s="15"/>
      <c r="F21" s="341"/>
      <c r="G21" s="30"/>
      <c r="H21" s="1"/>
      <c r="K21" s="136"/>
      <c r="L21" s="148"/>
      <c r="M21" s="3"/>
      <c r="N21" s="135"/>
    </row>
    <row r="22" spans="1:15" x14ac:dyDescent="0.25">
      <c r="A22" s="78"/>
      <c r="B22" s="489"/>
      <c r="C22" s="340"/>
      <c r="D22" s="278"/>
      <c r="E22" s="15"/>
      <c r="G22" s="30"/>
      <c r="H22" s="1"/>
      <c r="K22" s="111"/>
      <c r="L22" s="148"/>
      <c r="M22" s="111"/>
      <c r="N22" s="150"/>
    </row>
    <row r="23" spans="1:15" x14ac:dyDescent="0.25">
      <c r="A23" s="78"/>
      <c r="B23" s="339"/>
      <c r="C23" s="10" t="str">
        <f>Language!B657</f>
        <v>art.nr.</v>
      </c>
      <c r="D23" s="20"/>
      <c r="E23" s="15"/>
      <c r="G23" s="30"/>
      <c r="H23" s="1"/>
      <c r="K23" s="111"/>
      <c r="L23" s="148"/>
      <c r="M23" s="111"/>
      <c r="N23" s="150"/>
    </row>
    <row r="24" spans="1:15" x14ac:dyDescent="0.25">
      <c r="A24" s="78"/>
      <c r="B24" s="342" t="str">
        <f>Language!B656</f>
        <v>Rensa</v>
      </c>
      <c r="C24" s="343" t="str">
        <f>Weights_Swing!E10</f>
        <v/>
      </c>
      <c r="D24" s="344"/>
      <c r="E24" s="797" t="str">
        <f>Language!B658</f>
        <v xml:space="preserve">                Gulmarkering indikerar 20 dagars lev.tid.</v>
      </c>
      <c r="F24" s="798"/>
      <c r="G24" s="798"/>
      <c r="H24" s="799"/>
      <c r="K24" s="111"/>
      <c r="L24" s="147"/>
      <c r="M24" s="111"/>
      <c r="N24" s="151"/>
    </row>
    <row r="25" spans="1:15" x14ac:dyDescent="0.25">
      <c r="A25" s="78"/>
      <c r="B25" s="342"/>
      <c r="C25" s="342"/>
      <c r="D25" s="344"/>
      <c r="E25" s="2"/>
      <c r="F25" s="341"/>
      <c r="G25" s="30"/>
      <c r="H25" s="1"/>
      <c r="K25" s="111"/>
      <c r="L25" s="147"/>
      <c r="M25" s="111"/>
      <c r="N25" s="151"/>
    </row>
    <row r="26" spans="1:15" x14ac:dyDescent="0.25">
      <c r="A26" s="294"/>
      <c r="B26" s="682" t="str">
        <f>Language!B677</f>
        <v>2) Chassifärg</v>
      </c>
      <c r="C26" s="346"/>
      <c r="D26" s="347"/>
      <c r="E26" s="298"/>
      <c r="F26" s="348"/>
      <c r="G26" s="300"/>
      <c r="H26" s="301"/>
      <c r="I26" s="302"/>
      <c r="J26" s="303"/>
      <c r="K26" s="111"/>
      <c r="L26" s="147"/>
      <c r="M26" s="111"/>
      <c r="N26" s="151"/>
    </row>
    <row r="27" spans="1:15" x14ac:dyDescent="0.25">
      <c r="A27" s="78"/>
      <c r="B27" s="344"/>
      <c r="C27" s="344"/>
      <c r="D27" s="344"/>
      <c r="E27" s="2"/>
      <c r="F27" s="341"/>
      <c r="G27" s="30"/>
      <c r="H27" s="1"/>
      <c r="K27" s="111"/>
      <c r="L27" s="147"/>
      <c r="M27" s="111"/>
      <c r="N27" s="150"/>
    </row>
    <row r="28" spans="1:15" x14ac:dyDescent="0.25">
      <c r="A28" s="77"/>
      <c r="B28" s="683" t="str">
        <f>Language!B678</f>
        <v>Svart - Anodic Black</v>
      </c>
      <c r="C28" s="336"/>
      <c r="D28" s="1"/>
      <c r="E28" s="643" t="str">
        <f>Language!B680</f>
        <v xml:space="preserve">            Tillvalsfärg</v>
      </c>
      <c r="F28" s="341"/>
      <c r="G28" s="30"/>
      <c r="H28" s="1"/>
      <c r="K28" s="111"/>
      <c r="L28" s="147"/>
      <c r="M28" s="111"/>
      <c r="N28" s="150"/>
    </row>
    <row r="29" spans="1:15" x14ac:dyDescent="0.25">
      <c r="A29" s="77"/>
      <c r="B29" s="683" t="str">
        <f>Language!B679</f>
        <v>Grå - Gray Metallic</v>
      </c>
      <c r="C29" s="336"/>
      <c r="D29" s="344"/>
      <c r="E29" s="792" t="str">
        <f>Language!B681</f>
        <v xml:space="preserve">- En leveranstid på 20 dagar tillkommer för tillvalsfärg. </v>
      </c>
      <c r="F29" s="792"/>
      <c r="G29" s="792"/>
      <c r="H29" s="1"/>
      <c r="K29" s="111"/>
      <c r="L29" s="147"/>
      <c r="M29" s="142"/>
      <c r="N29" s="150"/>
    </row>
    <row r="30" spans="1:15" ht="15" customHeight="1" x14ac:dyDescent="0.25">
      <c r="A30" s="77"/>
      <c r="B30" s="342"/>
      <c r="C30" s="9" t="str">
        <f>Language!B657</f>
        <v>art.nr.</v>
      </c>
      <c r="D30" s="344"/>
      <c r="E30" s="833" t="str">
        <f>Language!B682</f>
        <v>Fyll i art.nr. i rutan nedanför</v>
      </c>
      <c r="F30" s="833"/>
      <c r="G30" s="833"/>
      <c r="H30" s="1"/>
      <c r="K30" s="111"/>
      <c r="L30" s="826"/>
      <c r="M30" s="826"/>
      <c r="N30" s="49"/>
      <c r="O30" s="69"/>
    </row>
    <row r="31" spans="1:15" ht="15" customHeight="1" x14ac:dyDescent="0.25">
      <c r="A31" s="77"/>
      <c r="B31" s="342" t="str">
        <f>Language!B656</f>
        <v>Rensa</v>
      </c>
      <c r="C31" s="343" t="str">
        <f>Weights_Swing!E15</f>
        <v/>
      </c>
      <c r="D31" s="344"/>
      <c r="E31" s="2"/>
      <c r="F31" s="161"/>
      <c r="G31" s="396"/>
      <c r="H31" s="1"/>
      <c r="K31" s="142"/>
      <c r="L31" s="149"/>
      <c r="M31" s="3"/>
      <c r="N31" s="143"/>
      <c r="O31" s="69"/>
    </row>
    <row r="32" spans="1:15" ht="15" customHeight="1" x14ac:dyDescent="0.25">
      <c r="A32" s="77"/>
      <c r="B32" s="342"/>
      <c r="C32" s="345"/>
      <c r="D32" s="344"/>
      <c r="E32" s="2"/>
      <c r="F32" s="2"/>
      <c r="G32" s="2"/>
      <c r="H32" s="1"/>
      <c r="K32" s="142"/>
      <c r="L32" s="149"/>
      <c r="M32" s="3"/>
      <c r="N32" s="143"/>
      <c r="O32" s="69"/>
    </row>
    <row r="33" spans="1:15" ht="15" customHeight="1" x14ac:dyDescent="0.25">
      <c r="A33" s="308"/>
      <c r="B33" s="349" t="str">
        <f>Language!B683</f>
        <v>3) Sittbredd BB</v>
      </c>
      <c r="C33" s="346"/>
      <c r="D33" s="347"/>
      <c r="E33" s="298"/>
      <c r="F33" s="298"/>
      <c r="G33" s="298"/>
      <c r="H33" s="301"/>
      <c r="I33" s="302"/>
      <c r="J33" s="303"/>
      <c r="K33" s="142"/>
      <c r="L33" s="149"/>
      <c r="M33" s="3"/>
      <c r="N33" s="143"/>
      <c r="O33" s="69"/>
    </row>
    <row r="34" spans="1:15" ht="15" customHeight="1" x14ac:dyDescent="0.25">
      <c r="A34" s="84"/>
      <c r="B34" s="350"/>
      <c r="C34" s="344"/>
      <c r="D34" s="344"/>
      <c r="E34" s="2"/>
      <c r="F34" s="173" t="s">
        <v>46</v>
      </c>
      <c r="G34" s="30"/>
      <c r="H34" s="1"/>
      <c r="K34" s="174"/>
      <c r="L34" s="50"/>
      <c r="M34" s="58"/>
      <c r="N34" s="57"/>
      <c r="O34" s="69"/>
    </row>
    <row r="35" spans="1:15" ht="15" customHeight="1" x14ac:dyDescent="0.25">
      <c r="A35" s="78"/>
      <c r="B35" s="351"/>
      <c r="C35" s="283"/>
      <c r="D35" s="283"/>
      <c r="E35" s="283" t="s">
        <v>3</v>
      </c>
      <c r="F35" s="352" t="s">
        <v>4</v>
      </c>
      <c r="G35" s="352" t="s">
        <v>5</v>
      </c>
      <c r="H35" s="283" t="s">
        <v>6</v>
      </c>
      <c r="I35" s="285" t="s">
        <v>7</v>
      </c>
      <c r="J35" s="283" t="s">
        <v>8</v>
      </c>
      <c r="K35" s="177"/>
      <c r="L35" s="50"/>
      <c r="M35" s="58"/>
      <c r="N35" s="57"/>
      <c r="O35" s="69"/>
    </row>
    <row r="36" spans="1:15" ht="15" customHeight="1" x14ac:dyDescent="0.25">
      <c r="A36" s="252"/>
      <c r="B36" s="351"/>
      <c r="C36" s="40"/>
      <c r="D36" s="40"/>
      <c r="E36" s="40"/>
      <c r="F36" s="353"/>
      <c r="G36" s="353"/>
      <c r="H36" s="40"/>
      <c r="I36" s="122"/>
      <c r="J36" s="40"/>
      <c r="K36" s="57"/>
      <c r="L36" s="57"/>
      <c r="M36" s="58"/>
      <c r="N36" s="57"/>
      <c r="O36" s="69"/>
    </row>
    <row r="37" spans="1:15" ht="15" customHeight="1" x14ac:dyDescent="0.25">
      <c r="A37" s="5"/>
      <c r="B37" s="342" t="str">
        <f>Language!B656</f>
        <v>Rensa</v>
      </c>
      <c r="C37" s="354" t="str">
        <f>Weights_Swing!E25</f>
        <v/>
      </c>
      <c r="D37" s="355" t="str">
        <f>Language!B684</f>
        <v xml:space="preserve">       Möjlig sittbredd:</v>
      </c>
      <c r="E37" s="356"/>
      <c r="F37" s="357" t="str">
        <f>Weights_Swing!G22</f>
        <v/>
      </c>
      <c r="G37" s="356"/>
      <c r="H37" s="40"/>
      <c r="I37" s="122"/>
      <c r="J37" s="40"/>
      <c r="K37" s="57"/>
      <c r="L37" s="57"/>
      <c r="M37" s="58"/>
      <c r="N37" s="57"/>
      <c r="O37" s="69"/>
    </row>
    <row r="38" spans="1:15" ht="15" customHeight="1" x14ac:dyDescent="0.25">
      <c r="A38" s="5"/>
      <c r="B38" s="342"/>
      <c r="C38" s="358"/>
      <c r="D38" s="40"/>
      <c r="E38" s="40"/>
      <c r="F38" s="353"/>
      <c r="G38" s="353"/>
      <c r="H38" s="40"/>
      <c r="I38" s="122"/>
      <c r="J38" s="40"/>
      <c r="K38" s="57"/>
      <c r="L38" s="57"/>
      <c r="M38" s="58"/>
      <c r="N38" s="57"/>
      <c r="O38" s="69"/>
    </row>
    <row r="39" spans="1:15" ht="15" customHeight="1" x14ac:dyDescent="0.25">
      <c r="A39" s="308"/>
      <c r="B39" s="349" t="str">
        <f>Language!B685</f>
        <v>4) Sitsdjup</v>
      </c>
      <c r="C39" s="346"/>
      <c r="D39" s="347"/>
      <c r="E39" s="298"/>
      <c r="F39" s="298"/>
      <c r="G39" s="298"/>
      <c r="H39" s="301"/>
      <c r="I39" s="302"/>
      <c r="J39" s="303"/>
      <c r="K39" s="57"/>
      <c r="L39" s="57"/>
      <c r="M39" s="58"/>
      <c r="N39" s="57"/>
      <c r="O39" s="69"/>
    </row>
    <row r="40" spans="1:15" ht="15" customHeight="1" x14ac:dyDescent="0.25">
      <c r="A40" s="5"/>
      <c r="B40" s="342"/>
      <c r="C40" s="358"/>
      <c r="D40" s="40"/>
      <c r="E40" s="40"/>
      <c r="F40" s="353"/>
      <c r="G40" s="353"/>
      <c r="H40" s="40"/>
      <c r="I40" s="122"/>
      <c r="J40" s="40"/>
      <c r="K40" s="57"/>
      <c r="L40" s="57"/>
      <c r="M40" s="58"/>
      <c r="N40" s="57"/>
      <c r="O40" s="69"/>
    </row>
    <row r="41" spans="1:15" ht="15" customHeight="1" x14ac:dyDescent="0.25">
      <c r="A41" s="5"/>
      <c r="B41" s="342"/>
      <c r="C41" s="283"/>
      <c r="D41" s="283" t="s">
        <v>10</v>
      </c>
      <c r="E41" s="283" t="s">
        <v>133</v>
      </c>
      <c r="F41" s="352" t="s">
        <v>9</v>
      </c>
      <c r="G41" s="353" t="s">
        <v>134</v>
      </c>
      <c r="H41" s="40" t="s">
        <v>7</v>
      </c>
      <c r="I41" s="122"/>
      <c r="J41" s="40"/>
      <c r="K41" s="57"/>
      <c r="L41" s="57"/>
      <c r="M41" s="58"/>
      <c r="N41" s="57"/>
      <c r="O41" s="69"/>
    </row>
    <row r="42" spans="1:15" ht="15" customHeight="1" x14ac:dyDescent="0.25">
      <c r="A42" s="5"/>
      <c r="B42" s="342" t="str">
        <f>Language!B656</f>
        <v>Rensa</v>
      </c>
      <c r="C42" s="354" t="str">
        <f>Weights_Swing!E32</f>
        <v/>
      </c>
      <c r="D42" s="355" t="str">
        <f>Language!B686</f>
        <v xml:space="preserve">       Möjligt sitsdjup:</v>
      </c>
      <c r="E42" s="40"/>
      <c r="F42" s="357" t="str">
        <f>Weights_Swing!G30</f>
        <v/>
      </c>
      <c r="G42" s="353"/>
      <c r="H42" s="40"/>
      <c r="I42" s="122"/>
      <c r="J42" s="40"/>
      <c r="K42" s="57"/>
      <c r="L42" s="57"/>
      <c r="M42" s="58"/>
      <c r="N42" s="57"/>
      <c r="O42" s="69"/>
    </row>
    <row r="43" spans="1:15" ht="15" customHeight="1" x14ac:dyDescent="0.25">
      <c r="A43" s="5"/>
      <c r="B43" s="342"/>
      <c r="C43" s="358"/>
      <c r="D43" s="40"/>
      <c r="E43" s="40"/>
      <c r="F43" s="353"/>
      <c r="G43" s="353"/>
      <c r="H43" s="40"/>
      <c r="I43" s="122"/>
      <c r="J43" s="40"/>
      <c r="K43" s="57"/>
      <c r="L43" s="57"/>
      <c r="M43" s="58"/>
      <c r="N43" s="57"/>
      <c r="O43" s="69"/>
    </row>
    <row r="44" spans="1:15" ht="15" customHeight="1" x14ac:dyDescent="0.25">
      <c r="A44" s="310"/>
      <c r="B44" s="349" t="str">
        <f>Language!B687</f>
        <v>5) Ryggstöd</v>
      </c>
      <c r="C44" s="359"/>
      <c r="D44" s="313"/>
      <c r="E44" s="313"/>
      <c r="F44" s="360"/>
      <c r="G44" s="360"/>
      <c r="H44" s="313"/>
      <c r="I44" s="315"/>
      <c r="J44" s="313"/>
      <c r="K44" s="57"/>
      <c r="L44" s="57"/>
      <c r="M44" s="58"/>
      <c r="N44" s="57"/>
      <c r="O44" s="69"/>
    </row>
    <row r="45" spans="1:15" ht="15" customHeight="1" x14ac:dyDescent="0.25">
      <c r="A45" s="84"/>
      <c r="B45" s="342"/>
      <c r="C45" s="40"/>
      <c r="D45" s="361"/>
      <c r="E45" s="40"/>
      <c r="F45" s="353"/>
      <c r="G45" s="353"/>
      <c r="H45" s="531"/>
      <c r="I45" s="532"/>
      <c r="J45" s="40"/>
      <c r="K45" s="57"/>
      <c r="L45" s="57"/>
      <c r="M45" s="58"/>
      <c r="N45" s="57"/>
      <c r="O45" s="69"/>
    </row>
    <row r="46" spans="1:15" ht="15" customHeight="1" x14ac:dyDescent="0.25">
      <c r="A46" s="78"/>
      <c r="B46" s="596" t="str">
        <f>Language!B688</f>
        <v>Standard</v>
      </c>
      <c r="C46" s="40"/>
      <c r="D46" s="44"/>
      <c r="E46" s="597" t="str">
        <f>Language!B689</f>
        <v xml:space="preserve">        Insvängd *</v>
      </c>
      <c r="F46" s="362"/>
      <c r="G46" s="396"/>
      <c r="H46" s="867" t="str">
        <f>Language!B692</f>
        <v xml:space="preserve">                 Insvängd 6 cm *</v>
      </c>
      <c r="I46" s="867"/>
      <c r="J46" s="396"/>
      <c r="K46" s="57"/>
      <c r="L46" s="57"/>
      <c r="M46" s="58"/>
      <c r="N46" s="57"/>
      <c r="O46" s="69"/>
    </row>
    <row r="47" spans="1:15" ht="15" customHeight="1" x14ac:dyDescent="0.25">
      <c r="A47" s="5"/>
      <c r="B47" s="363"/>
      <c r="C47" s="40"/>
      <c r="D47" s="44"/>
      <c r="E47" s="597" t="str">
        <f>Language!B690</f>
        <v xml:space="preserve">       Bakåtbockad **</v>
      </c>
      <c r="F47" s="530"/>
      <c r="G47" s="396"/>
      <c r="H47" s="867" t="str">
        <f>Language!B693</f>
        <v xml:space="preserve">                    Utsvängd 3 cm **</v>
      </c>
      <c r="I47" s="867"/>
      <c r="J47" s="396"/>
      <c r="K47" s="57"/>
      <c r="L47" s="57"/>
      <c r="M47" s="58"/>
      <c r="N47" s="57"/>
      <c r="O47" s="69"/>
    </row>
    <row r="48" spans="1:15" ht="15" customHeight="1" x14ac:dyDescent="0.25">
      <c r="A48" s="77"/>
      <c r="C48" s="177" t="str">
        <f>Language!B657</f>
        <v>art.nr.</v>
      </c>
      <c r="D48" s="44"/>
      <c r="E48" s="597" t="str">
        <f>Language!B691</f>
        <v xml:space="preserve">       För fast ryggsystem***</v>
      </c>
      <c r="F48" s="364"/>
      <c r="G48" s="364"/>
      <c r="H48" s="684" t="str">
        <f>Language!B694</f>
        <v xml:space="preserve">                  Bakåtbockad-insvängd***</v>
      </c>
      <c r="I48" s="685"/>
      <c r="J48" s="396"/>
      <c r="K48" s="57"/>
      <c r="L48" s="57"/>
      <c r="M48" s="58"/>
      <c r="N48" s="57"/>
      <c r="O48" s="69"/>
    </row>
    <row r="49" spans="1:15" ht="15" customHeight="1" x14ac:dyDescent="0.25">
      <c r="A49" s="36"/>
      <c r="B49" s="61" t="str">
        <f>Language!B656</f>
        <v>Rensa</v>
      </c>
      <c r="C49" s="365" t="str">
        <f>Weights_Swing!E43</f>
        <v/>
      </c>
      <c r="D49" s="170"/>
      <c r="E49" s="363"/>
      <c r="F49" s="465" t="s">
        <v>157</v>
      </c>
      <c r="G49" s="463" t="str">
        <f>C37</f>
        <v/>
      </c>
      <c r="H49" s="63"/>
      <c r="J49" s="1"/>
      <c r="K49" s="57"/>
      <c r="L49" s="37"/>
      <c r="M49" s="58"/>
      <c r="N49" s="57"/>
      <c r="O49" s="69"/>
    </row>
    <row r="50" spans="1:15" ht="15" customHeight="1" x14ac:dyDescent="0.25">
      <c r="A50" s="84"/>
      <c r="B50" s="135" t="str">
        <f>Language!B695</f>
        <v>och</v>
      </c>
      <c r="C50" s="293" t="str">
        <f>Weights_Swing!G43</f>
        <v/>
      </c>
      <c r="D50" s="291" t="str">
        <f>Language!B696</f>
        <v>klädsel</v>
      </c>
      <c r="E50" s="45"/>
      <c r="F50" s="462" t="s">
        <v>158</v>
      </c>
      <c r="G50" s="464" t="str">
        <f>C55</f>
        <v/>
      </c>
      <c r="H50" s="53"/>
      <c r="I50" s="53"/>
      <c r="J50" s="53"/>
      <c r="K50" s="37"/>
      <c r="L50" s="37"/>
      <c r="M50" s="58"/>
      <c r="N50" s="57"/>
      <c r="O50" s="69"/>
    </row>
    <row r="51" spans="1:15" ht="15" customHeight="1" x14ac:dyDescent="0.25">
      <c r="A51" s="84"/>
      <c r="B51" s="148"/>
      <c r="C51" s="171"/>
      <c r="D51" s="172"/>
      <c r="E51" s="45"/>
      <c r="F51" s="279"/>
      <c r="G51" s="279"/>
      <c r="H51" s="279"/>
      <c r="I51" s="279"/>
      <c r="J51" s="279"/>
      <c r="K51" s="37"/>
      <c r="L51" s="37"/>
      <c r="M51" s="58"/>
      <c r="N51" s="57"/>
      <c r="O51" s="69"/>
    </row>
    <row r="52" spans="1:15" ht="15" customHeight="1" x14ac:dyDescent="0.25">
      <c r="A52" s="316"/>
      <c r="B52" s="349" t="str">
        <f>Language!B697</f>
        <v>6) Ryggstödshöjd  HH</v>
      </c>
      <c r="C52" s="317"/>
      <c r="D52" s="318"/>
      <c r="E52" s="319"/>
      <c r="F52" s="320"/>
      <c r="G52" s="320"/>
      <c r="H52" s="320"/>
      <c r="I52" s="320"/>
      <c r="J52" s="320"/>
      <c r="K52" s="37"/>
      <c r="L52" s="37"/>
      <c r="M52" s="58"/>
      <c r="N52" s="57"/>
      <c r="O52" s="69"/>
    </row>
    <row r="53" spans="1:15" ht="15" customHeight="1" x14ac:dyDescent="0.25">
      <c r="A53" s="184"/>
      <c r="B53" s="3"/>
      <c r="C53" s="59"/>
      <c r="D53" s="60"/>
      <c r="E53" s="45"/>
      <c r="F53" s="53"/>
      <c r="H53" s="63"/>
      <c r="J53" s="1"/>
      <c r="L53" s="37"/>
      <c r="M53" s="58"/>
      <c r="N53" s="57"/>
      <c r="O53" s="69"/>
    </row>
    <row r="54" spans="1:15" ht="15" customHeight="1" x14ac:dyDescent="0.25">
      <c r="A54" s="253"/>
      <c r="B54" s="24" t="str">
        <f>Language!B656</f>
        <v>Rensa</v>
      </c>
      <c r="C54" s="287" t="s">
        <v>11</v>
      </c>
      <c r="D54" s="288" t="s">
        <v>12</v>
      </c>
      <c r="E54" s="288" t="s">
        <v>2</v>
      </c>
      <c r="F54" s="288" t="s">
        <v>10</v>
      </c>
      <c r="G54" s="288" t="s">
        <v>9</v>
      </c>
      <c r="H54" s="288" t="s">
        <v>7</v>
      </c>
      <c r="I54" s="289"/>
      <c r="J54" s="1"/>
      <c r="K54" s="37"/>
      <c r="L54" s="37"/>
      <c r="M54" s="58"/>
      <c r="N54" s="57"/>
      <c r="O54" s="69"/>
    </row>
    <row r="55" spans="1:15" ht="15" customHeight="1" x14ac:dyDescent="0.25">
      <c r="B55" s="24"/>
      <c r="C55" s="366" t="str">
        <f>Weights_Swing!E51</f>
        <v/>
      </c>
      <c r="D55" s="80"/>
      <c r="E55" s="80"/>
      <c r="F55" s="80"/>
      <c r="G55" s="80"/>
      <c r="H55" s="80"/>
      <c r="I55" s="126"/>
      <c r="J55" s="1"/>
      <c r="K55" s="37"/>
      <c r="L55" s="37"/>
      <c r="M55" s="58"/>
      <c r="N55" s="57"/>
      <c r="O55" s="69"/>
    </row>
    <row r="56" spans="1:15" ht="15" customHeight="1" x14ac:dyDescent="0.25">
      <c r="A56" s="810" t="s">
        <v>42</v>
      </c>
      <c r="B56" s="810"/>
      <c r="C56" s="810"/>
      <c r="D56" s="810"/>
      <c r="E56" s="810"/>
      <c r="F56" s="810"/>
      <c r="G56" s="810"/>
      <c r="H56" s="810"/>
      <c r="I56" s="810"/>
      <c r="J56" s="810"/>
      <c r="K56" s="37"/>
      <c r="L56" s="37"/>
      <c r="M56" s="58"/>
      <c r="N56" s="57"/>
      <c r="O56" s="69"/>
    </row>
    <row r="57" spans="1:15" ht="15" customHeight="1" x14ac:dyDescent="0.25">
      <c r="A57" s="810"/>
      <c r="B57" s="810"/>
      <c r="C57" s="810"/>
      <c r="D57" s="810"/>
      <c r="E57" s="810"/>
      <c r="F57" s="810"/>
      <c r="G57" s="810"/>
      <c r="H57" s="810"/>
      <c r="I57" s="810"/>
      <c r="J57" s="810"/>
      <c r="K57" s="37"/>
      <c r="L57" s="37"/>
      <c r="M57" s="58"/>
      <c r="N57" s="57"/>
      <c r="O57" s="69"/>
    </row>
    <row r="58" spans="1:15" ht="15" customHeight="1" x14ac:dyDescent="0.25">
      <c r="A58" s="321"/>
      <c r="B58" s="349" t="str">
        <f>Language!B698</f>
        <v>7) Bakaxel</v>
      </c>
      <c r="C58" s="367"/>
      <c r="D58" s="323"/>
      <c r="E58" s="323"/>
      <c r="F58" s="323"/>
      <c r="G58" s="323"/>
      <c r="H58" s="323"/>
      <c r="I58" s="324"/>
      <c r="J58" s="301"/>
      <c r="K58" s="37"/>
      <c r="L58" s="37"/>
      <c r="M58" s="58"/>
      <c r="N58" s="57"/>
      <c r="O58" s="69"/>
    </row>
    <row r="59" spans="1:15" ht="15" customHeight="1" x14ac:dyDescent="0.25">
      <c r="A59" s="84"/>
      <c r="B59" s="3"/>
      <c r="C59" s="59"/>
      <c r="D59" s="60"/>
      <c r="E59" s="45"/>
      <c r="F59" s="53"/>
      <c r="J59" s="1"/>
      <c r="K59" s="37"/>
      <c r="L59" s="37"/>
      <c r="M59" s="58"/>
      <c r="N59" s="57"/>
      <c r="O59" s="69"/>
    </row>
    <row r="60" spans="1:15" ht="15" customHeight="1" x14ac:dyDescent="0.25">
      <c r="A60" s="79"/>
      <c r="B60" s="61"/>
      <c r="C60" s="59"/>
      <c r="D60" s="60"/>
      <c r="E60" s="45"/>
      <c r="F60" s="53"/>
      <c r="J60" s="50" t="str">
        <f>Language!B657</f>
        <v>art.nr.</v>
      </c>
      <c r="K60" s="37"/>
      <c r="L60" s="37"/>
      <c r="M60" s="58"/>
      <c r="N60" s="57"/>
      <c r="O60" s="69"/>
    </row>
    <row r="61" spans="1:15" ht="15" customHeight="1" x14ac:dyDescent="0.25">
      <c r="B61" s="571" t="str">
        <f>Language!B699</f>
        <v>Carbon Standard</v>
      </c>
      <c r="C61" s="59"/>
      <c r="D61" s="60"/>
      <c r="E61" s="574" t="str">
        <f>Language!B700</f>
        <v xml:space="preserve">      Carbon +15 mm</v>
      </c>
      <c r="F61" s="369"/>
      <c r="G61" s="369"/>
      <c r="H61" s="829" t="str">
        <f>Language!B701</f>
        <v xml:space="preserve">            Annan bakaxel</v>
      </c>
      <c r="I61" s="864"/>
      <c r="J61" s="420"/>
      <c r="K61" s="37"/>
      <c r="L61" s="37"/>
      <c r="M61" s="58"/>
      <c r="N61" s="57"/>
      <c r="O61" s="69"/>
    </row>
    <row r="62" spans="1:15" ht="15" customHeight="1" x14ac:dyDescent="0.25">
      <c r="B62" s="15"/>
      <c r="C62" s="50" t="str">
        <f>Language!B657</f>
        <v>art.nr.</v>
      </c>
      <c r="D62" s="62"/>
      <c r="E62" s="3" t="str">
        <f>Language!B704</f>
        <v xml:space="preserve">Denna bakaxel används om man väljer till armstöd under </v>
      </c>
      <c r="F62" s="279"/>
      <c r="G62" s="53"/>
      <c r="H62" s="1"/>
      <c r="I62" s="570" t="str">
        <f>Language!B702</f>
        <v>eller sitthöjd</v>
      </c>
      <c r="K62" s="37"/>
      <c r="L62" s="37"/>
      <c r="M62" s="58"/>
      <c r="N62" s="57"/>
      <c r="O62" s="69"/>
    </row>
    <row r="63" spans="1:15" ht="15" customHeight="1" x14ac:dyDescent="0.25">
      <c r="A63" s="27"/>
      <c r="B63" s="86" t="str">
        <f>Language!B656</f>
        <v>Rensa</v>
      </c>
      <c r="C63" s="343" t="str">
        <f>Weights_Swing!E56</f>
        <v/>
      </c>
      <c r="E63" s="833" t="str">
        <f>Language!B705</f>
        <v>Tillbehör och/eller val av ökad sitthöjd</v>
      </c>
      <c r="F63" s="833"/>
      <c r="G63" s="833"/>
      <c r="H63" s="372"/>
      <c r="I63" s="568" t="str">
        <f>Language!B703</f>
        <v>Öka sitthöjden</v>
      </c>
      <c r="J63" s="134" t="s">
        <v>207</v>
      </c>
      <c r="K63" s="37"/>
      <c r="L63" s="37"/>
      <c r="M63" s="58"/>
      <c r="N63" s="57"/>
      <c r="O63" s="69"/>
    </row>
    <row r="64" spans="1:15" ht="15" customHeight="1" x14ac:dyDescent="0.25">
      <c r="A64" s="27"/>
      <c r="B64" s="86"/>
      <c r="H64" s="8"/>
      <c r="I64" s="119"/>
      <c r="J64" s="119"/>
      <c r="K64" s="37"/>
      <c r="L64" s="37"/>
      <c r="M64" s="58"/>
      <c r="N64" s="57"/>
      <c r="O64" s="69"/>
    </row>
    <row r="65" spans="1:15" ht="15" customHeight="1" x14ac:dyDescent="0.25">
      <c r="A65" s="325"/>
      <c r="B65" s="349" t="str">
        <f>Language!B706</f>
        <v>8) Länkhjul</v>
      </c>
      <c r="C65" s="303"/>
      <c r="D65" s="303"/>
      <c r="E65" s="303"/>
      <c r="F65" s="303"/>
      <c r="G65" s="303"/>
      <c r="H65" s="326"/>
      <c r="I65" s="327"/>
      <c r="J65" s="327"/>
      <c r="K65" s="37"/>
      <c r="L65" s="37"/>
      <c r="M65" s="58"/>
      <c r="N65" s="57"/>
      <c r="O65" s="69"/>
    </row>
    <row r="66" spans="1:15" ht="15" customHeight="1" x14ac:dyDescent="0.25">
      <c r="A66" s="84"/>
      <c r="B66" s="86"/>
      <c r="K66" s="37"/>
      <c r="L66" s="37"/>
      <c r="M66" s="58"/>
      <c r="N66" s="57"/>
      <c r="O66" s="69"/>
    </row>
    <row r="67" spans="1:15" x14ac:dyDescent="0.25">
      <c r="A67" s="79"/>
      <c r="B67" s="571" t="str">
        <f>Language!B707</f>
        <v>120 mm</v>
      </c>
      <c r="C67" s="447"/>
      <c r="E67" s="569" t="str">
        <f>Language!B708</f>
        <v xml:space="preserve">  90 mm</v>
      </c>
      <c r="G67" s="21"/>
      <c r="I67" s="373"/>
      <c r="K67" s="37"/>
      <c r="L67" s="37"/>
      <c r="M67" s="58"/>
      <c r="N67" s="57"/>
      <c r="O67" s="69"/>
    </row>
    <row r="68" spans="1:15" x14ac:dyDescent="0.25">
      <c r="A68" s="79"/>
      <c r="B68" s="368"/>
      <c r="C68" s="50" t="str">
        <f>Language!B657</f>
        <v>art.nr.</v>
      </c>
      <c r="E68" s="370"/>
      <c r="G68" s="21"/>
      <c r="I68" s="373"/>
      <c r="K68" s="37"/>
      <c r="L68" s="37"/>
      <c r="M68" s="58"/>
      <c r="N68" s="57"/>
      <c r="O68" s="69"/>
    </row>
    <row r="69" spans="1:15" ht="15.75" x14ac:dyDescent="0.25">
      <c r="A69" s="5"/>
      <c r="B69" s="89" t="str">
        <f>Language!B656</f>
        <v>Rensa</v>
      </c>
      <c r="C69" s="343" t="str">
        <f>Weights_Swing!E62</f>
        <v/>
      </c>
      <c r="D69" s="374" t="s">
        <v>84</v>
      </c>
      <c r="E69" s="569" t="s">
        <v>14</v>
      </c>
      <c r="F69" s="370"/>
      <c r="H69" s="370"/>
      <c r="I69" s="373"/>
      <c r="K69" s="37"/>
      <c r="L69" s="37"/>
      <c r="N69" s="57"/>
      <c r="O69" s="69"/>
    </row>
    <row r="70" spans="1:15" x14ac:dyDescent="0.25">
      <c r="B70" s="89"/>
      <c r="C70" s="24"/>
      <c r="E70" s="8"/>
      <c r="F70" s="375"/>
      <c r="H70" s="8"/>
      <c r="I70" s="119"/>
      <c r="J70" s="119"/>
      <c r="K70" s="37"/>
      <c r="L70" s="37"/>
      <c r="N70" s="57"/>
      <c r="O70" s="69"/>
    </row>
    <row r="71" spans="1:15" ht="15.75" x14ac:dyDescent="0.25">
      <c r="A71" s="321"/>
      <c r="B71" s="349" t="str">
        <f>Language!B709</f>
        <v>9) Fotstöd</v>
      </c>
      <c r="C71" s="328"/>
      <c r="D71" s="303"/>
      <c r="E71" s="326"/>
      <c r="F71" s="376"/>
      <c r="G71" s="303"/>
      <c r="H71" s="326"/>
      <c r="I71" s="327"/>
      <c r="J71" s="327"/>
      <c r="K71" s="37"/>
      <c r="L71" s="37"/>
      <c r="N71" s="57"/>
      <c r="O71" s="69"/>
    </row>
    <row r="72" spans="1:15" ht="15.75" x14ac:dyDescent="0.25">
      <c r="A72" s="27"/>
      <c r="K72" s="37"/>
      <c r="L72" s="37"/>
      <c r="N72" s="57"/>
      <c r="O72" s="69"/>
    </row>
    <row r="73" spans="1:15" x14ac:dyDescent="0.25">
      <c r="A73" s="79"/>
      <c r="B73" s="573" t="str">
        <f>Language!B710</f>
        <v xml:space="preserve">S3 Swing </v>
      </c>
      <c r="C73" s="33"/>
      <c r="D73" s="32"/>
      <c r="E73" s="803" t="str">
        <f>Language!B711</f>
        <v xml:space="preserve">       Stora fotplattor</v>
      </c>
      <c r="F73" s="803"/>
      <c r="H73" s="829" t="str">
        <f>Language!B713</f>
        <v xml:space="preserve">    Förlängda rör 40 mm</v>
      </c>
      <c r="I73" s="829"/>
      <c r="J73" s="829"/>
      <c r="L73" s="37"/>
      <c r="N73" s="57"/>
      <c r="O73" s="69"/>
    </row>
    <row r="74" spans="1:15" ht="15.75" x14ac:dyDescent="0.25">
      <c r="A74" s="5"/>
      <c r="B74" s="15"/>
      <c r="C74" s="34"/>
      <c r="D74" s="34"/>
      <c r="E74" s="3"/>
      <c r="F74" s="15"/>
      <c r="H74" s="8"/>
      <c r="I74" s="119"/>
      <c r="L74" s="37"/>
      <c r="N74" s="57"/>
      <c r="O74" s="69"/>
    </row>
    <row r="75" spans="1:15" ht="16.5" customHeight="1" x14ac:dyDescent="0.25">
      <c r="B75" s="368"/>
      <c r="C75" s="35"/>
      <c r="D75" s="32"/>
      <c r="E75" s="377"/>
      <c r="F75" s="369"/>
      <c r="L75" s="37"/>
      <c r="N75" s="57"/>
    </row>
    <row r="76" spans="1:15" x14ac:dyDescent="0.25">
      <c r="B76" s="15"/>
      <c r="C76" s="50" t="str">
        <f>Language!B657</f>
        <v>art.nr.</v>
      </c>
      <c r="E76" s="378"/>
      <c r="F76" s="10"/>
      <c r="L76" s="37"/>
    </row>
    <row r="77" spans="1:15" x14ac:dyDescent="0.25">
      <c r="B77" s="89" t="str">
        <f>Language!B656</f>
        <v>Rensa</v>
      </c>
      <c r="C77" s="343" t="str">
        <f>Weights_Swing!E69</f>
        <v/>
      </c>
      <c r="E77" s="689" t="str">
        <f>Language!B712</f>
        <v xml:space="preserve">         Hälband för fotplattor</v>
      </c>
      <c r="F77" s="369"/>
      <c r="G77" s="88"/>
      <c r="L77" s="37"/>
    </row>
    <row r="78" spans="1:15" x14ac:dyDescent="0.25">
      <c r="E78" s="690" t="str">
        <f>Language!B657</f>
        <v>art.nr.</v>
      </c>
      <c r="F78" s="766" t="str">
        <f>Weights_Swing!E71</f>
        <v/>
      </c>
    </row>
    <row r="79" spans="1:15" ht="15.75" x14ac:dyDescent="0.25">
      <c r="A79" s="27"/>
      <c r="B79" s="18"/>
      <c r="C79" s="32"/>
      <c r="D79" s="33"/>
      <c r="E79" s="377"/>
      <c r="F79" s="377"/>
    </row>
    <row r="80" spans="1:15" x14ac:dyDescent="0.25">
      <c r="E80" s="96"/>
    </row>
    <row r="81" spans="1:12" ht="15.75" x14ac:dyDescent="0.25">
      <c r="A81" s="321"/>
      <c r="B81" s="349" t="str">
        <f>Language!B714</f>
        <v>10) Broms</v>
      </c>
      <c r="C81" s="303"/>
      <c r="D81" s="303"/>
      <c r="E81" s="330"/>
      <c r="F81" s="346"/>
      <c r="G81" s="303"/>
      <c r="H81" s="303"/>
      <c r="I81" s="302"/>
      <c r="J81" s="303"/>
    </row>
    <row r="82" spans="1:12" x14ac:dyDescent="0.25">
      <c r="A82" s="79"/>
      <c r="C82" s="23"/>
    </row>
    <row r="83" spans="1:12" x14ac:dyDescent="0.25">
      <c r="A83" s="79"/>
      <c r="B83" s="575" t="str">
        <f>Language!B715</f>
        <v>S3 Standard</v>
      </c>
      <c r="C83" s="23"/>
      <c r="E83" s="369"/>
      <c r="F83" s="369"/>
      <c r="G83" s="396"/>
      <c r="H83" s="865" t="str">
        <f>Language!B716</f>
        <v xml:space="preserve">        Vårdarbroms</v>
      </c>
      <c r="I83" s="865"/>
      <c r="J83" s="396"/>
    </row>
    <row r="84" spans="1:12" x14ac:dyDescent="0.25">
      <c r="B84" s="10"/>
      <c r="E84" s="380"/>
      <c r="F84" s="378"/>
      <c r="G84" s="396"/>
      <c r="H84" s="8"/>
      <c r="I84" s="8" t="str">
        <f>Language!B657</f>
        <v>art.nr.</v>
      </c>
      <c r="J84" s="381"/>
    </row>
    <row r="85" spans="1:12" ht="15.75" x14ac:dyDescent="0.25">
      <c r="A85" s="27"/>
      <c r="C85" s="50" t="str">
        <f>Language!B657</f>
        <v>art.nr.</v>
      </c>
      <c r="D85" s="866"/>
      <c r="E85" s="866"/>
      <c r="F85" s="59"/>
      <c r="H85" s="5"/>
    </row>
    <row r="86" spans="1:12" ht="15.75" x14ac:dyDescent="0.25">
      <c r="A86" s="5"/>
      <c r="B86" s="382" t="str">
        <f>Language!B656</f>
        <v>Rensa</v>
      </c>
      <c r="C86" s="343" t="str">
        <f>Weights_Swing!E78</f>
        <v/>
      </c>
      <c r="D86" s="15"/>
      <c r="E86" s="21"/>
      <c r="G86" s="21"/>
      <c r="H86" s="39"/>
      <c r="I86" s="121"/>
      <c r="J86" s="34"/>
    </row>
    <row r="87" spans="1:12" x14ac:dyDescent="0.25">
      <c r="B87" s="382"/>
      <c r="D87" s="832"/>
      <c r="E87" s="832"/>
      <c r="F87" s="383"/>
      <c r="G87" s="384"/>
      <c r="H87" s="40"/>
      <c r="I87" s="122"/>
      <c r="J87" s="34"/>
    </row>
    <row r="88" spans="1:12" ht="15.75" x14ac:dyDescent="0.25">
      <c r="A88" s="321"/>
      <c r="B88" s="349" t="s">
        <v>378</v>
      </c>
      <c r="C88" s="303"/>
      <c r="D88" s="385"/>
      <c r="E88" s="385"/>
      <c r="F88" s="385"/>
      <c r="G88" s="386"/>
      <c r="H88" s="313"/>
      <c r="I88" s="315"/>
      <c r="J88" s="333"/>
    </row>
    <row r="89" spans="1:12" x14ac:dyDescent="0.25">
      <c r="D89" s="15"/>
      <c r="E89" s="16"/>
      <c r="G89" s="21"/>
      <c r="H89" s="40"/>
      <c r="I89" s="122"/>
      <c r="J89" s="34"/>
    </row>
    <row r="90" spans="1:12" x14ac:dyDescent="0.25">
      <c r="A90" s="79"/>
      <c r="B90" s="575" t="str">
        <f>Language!B718</f>
        <v>24" Std</v>
      </c>
      <c r="C90" s="577" t="str">
        <f>Language!B720</f>
        <v>Däck Right Run</v>
      </c>
      <c r="D90" s="576"/>
      <c r="E90" s="574" t="str">
        <f>Language!B719</f>
        <v xml:space="preserve">       22" Std</v>
      </c>
      <c r="F90" s="112" t="str">
        <f>Language!B720</f>
        <v>Däck Right Run</v>
      </c>
      <c r="G90" s="384"/>
      <c r="H90" s="576" t="str">
        <f>Language!B728</f>
        <v xml:space="preserve">                      Enhandsdrift</v>
      </c>
      <c r="I90" s="387"/>
      <c r="J90" s="396"/>
      <c r="L90"/>
    </row>
    <row r="91" spans="1:12" x14ac:dyDescent="0.25">
      <c r="A91" s="240"/>
      <c r="B91" s="31" t="str">
        <f>Language!B718</f>
        <v>24" Std</v>
      </c>
      <c r="C91" s="691" t="str">
        <f>Language!B721</f>
        <v>Däck Marathon Plus</v>
      </c>
      <c r="D91" s="396"/>
      <c r="E91" s="389" t="str">
        <f>Language!B719</f>
        <v xml:space="preserve">       22" Std</v>
      </c>
      <c r="F91" s="112" t="str">
        <f>Language!B721</f>
        <v>Däck Marathon Plus</v>
      </c>
      <c r="G91" s="396"/>
      <c r="H91" s="8"/>
      <c r="I91" s="8" t="str">
        <f>Language!B402</f>
        <v>Fyll i önskat art.nr:</v>
      </c>
      <c r="J91" s="185"/>
      <c r="L91"/>
    </row>
    <row r="92" spans="1:12" x14ac:dyDescent="0.25">
      <c r="B92" s="31" t="str">
        <f>Language!B718</f>
        <v>24" Std</v>
      </c>
      <c r="C92" s="691" t="str">
        <f>Language!B722</f>
        <v>Däck Rugged</v>
      </c>
      <c r="D92" s="396"/>
      <c r="E92" s="390" t="str">
        <f>Language!B719</f>
        <v xml:space="preserve">       22" Std</v>
      </c>
      <c r="F92" s="15" t="str">
        <f>Language!B723</f>
        <v>Däck PU massivt</v>
      </c>
      <c r="G92" s="396"/>
      <c r="I92" s="579" t="str">
        <f>Language!B729</f>
        <v xml:space="preserve">    Drivhjul 24x2" MTB</v>
      </c>
    </row>
    <row r="93" spans="1:12" ht="15.75" x14ac:dyDescent="0.25">
      <c r="A93" s="27"/>
      <c r="B93" s="31" t="str">
        <f>Language!B718</f>
        <v>24" Std</v>
      </c>
      <c r="C93" s="691" t="str">
        <f>Language!B723</f>
        <v>Däck PU massivt</v>
      </c>
      <c r="D93" s="396"/>
      <c r="E93" s="577" t="str">
        <f>Language!B724</f>
        <v xml:space="preserve">       25"  Spinergy X svart</v>
      </c>
      <c r="F93" s="116"/>
      <c r="G93" s="577" t="str">
        <f>Language!B720</f>
        <v>Däck Right Run</v>
      </c>
      <c r="H93" s="691"/>
      <c r="I93" s="662" t="str">
        <f>Language!B730</f>
        <v>Titan drivringar</v>
      </c>
      <c r="J93" s="396"/>
    </row>
    <row r="94" spans="1:12" x14ac:dyDescent="0.25">
      <c r="B94" s="38"/>
      <c r="C94" s="38"/>
      <c r="D94" s="38"/>
      <c r="E94" s="533" t="str">
        <f>Language!B724</f>
        <v xml:space="preserve">       25"  Spinergy X svart</v>
      </c>
      <c r="F94" s="116"/>
      <c r="G94" s="582" t="str">
        <f>Language!B721</f>
        <v>Däck Marathon Plus</v>
      </c>
      <c r="H94" s="248"/>
      <c r="I94" s="119"/>
    </row>
    <row r="95" spans="1:12" x14ac:dyDescent="0.25">
      <c r="B95" s="89"/>
      <c r="E95" s="533" t="str">
        <f>Language!B725</f>
        <v xml:space="preserve">       26"  Spinergy X svart</v>
      </c>
      <c r="F95" s="116"/>
      <c r="G95" s="112" t="str">
        <f>Language!B720</f>
        <v>Däck Right Run</v>
      </c>
      <c r="H95" s="15"/>
    </row>
    <row r="96" spans="1:12" x14ac:dyDescent="0.25">
      <c r="C96" s="23"/>
      <c r="E96" s="533" t="str">
        <f>Language!B725</f>
        <v xml:space="preserve">       26"  Spinergy X svart</v>
      </c>
      <c r="F96" s="116"/>
      <c r="G96" s="114" t="str">
        <f>Language!B721</f>
        <v>Däck Marathon Plus</v>
      </c>
      <c r="H96" s="15"/>
      <c r="L96" s="249"/>
    </row>
    <row r="97" spans="1:15" x14ac:dyDescent="0.25">
      <c r="A97" s="79"/>
      <c r="E97" s="577" t="str">
        <f>Language!B726</f>
        <v xml:space="preserve">       25"  Spinergy X vit</v>
      </c>
      <c r="F97" s="116"/>
      <c r="G97" s="112" t="str">
        <f>Language!B720</f>
        <v>Däck Right Run</v>
      </c>
      <c r="H97" s="15"/>
    </row>
    <row r="98" spans="1:15" x14ac:dyDescent="0.25">
      <c r="B98" s="368"/>
      <c r="E98" s="533" t="str">
        <f>Language!B726</f>
        <v xml:space="preserve">       25"  Spinergy X vit</v>
      </c>
      <c r="F98" s="116"/>
      <c r="G98" s="114" t="str">
        <f>Language!B721</f>
        <v>Däck Marathon Plus</v>
      </c>
      <c r="H98" s="15"/>
      <c r="I98" s="371"/>
    </row>
    <row r="99" spans="1:15" ht="15.75" x14ac:dyDescent="0.25">
      <c r="A99" s="27"/>
      <c r="C99" s="368"/>
      <c r="E99" s="533" t="str">
        <f>Language!B727</f>
        <v xml:space="preserve">       26"  Spinergy X vit</v>
      </c>
      <c r="F99" s="116"/>
      <c r="G99" s="112" t="str">
        <f>Language!B720</f>
        <v>Däck Right Run</v>
      </c>
      <c r="H99" s="15"/>
    </row>
    <row r="100" spans="1:15" x14ac:dyDescent="0.25">
      <c r="C100" s="50" t="str">
        <f>Language!B657</f>
        <v>art.nr.</v>
      </c>
      <c r="D100" s="391"/>
      <c r="E100" s="533" t="str">
        <f>Language!B727</f>
        <v xml:space="preserve">       26"  Spinergy X vit</v>
      </c>
      <c r="F100" s="116"/>
      <c r="G100" s="114" t="str">
        <f>Language!B721</f>
        <v>Däck Marathon Plus</v>
      </c>
      <c r="H100" s="15"/>
    </row>
    <row r="101" spans="1:15" x14ac:dyDescent="0.25">
      <c r="B101" s="89" t="str">
        <f>Language!B656</f>
        <v>Rensa</v>
      </c>
      <c r="C101" s="343" t="str">
        <f>Weights_Swing!E97</f>
        <v/>
      </c>
      <c r="D101" s="392" t="s">
        <v>84</v>
      </c>
      <c r="F101" s="396"/>
    </row>
    <row r="102" spans="1:15" x14ac:dyDescent="0.25">
      <c r="B102" s="89"/>
      <c r="C102" s="345"/>
      <c r="D102" s="392"/>
      <c r="F102" s="392"/>
    </row>
    <row r="103" spans="1:15" s="64" customFormat="1" ht="15.75" x14ac:dyDescent="0.25">
      <c r="A103" s="321"/>
      <c r="B103" s="349" t="str">
        <f>Language!B731</f>
        <v>12) Drivring</v>
      </c>
      <c r="C103" s="303"/>
      <c r="D103" s="303"/>
      <c r="E103" s="303"/>
      <c r="F103" s="303"/>
      <c r="G103" s="303"/>
      <c r="H103" s="303"/>
      <c r="I103" s="302"/>
      <c r="J103" s="303"/>
      <c r="K103" s="1"/>
      <c r="L103" s="1"/>
      <c r="M103"/>
      <c r="N103"/>
    </row>
    <row r="104" spans="1:15" s="64" customFormat="1" x14ac:dyDescent="0.25">
      <c r="A104" s="14"/>
      <c r="B104"/>
      <c r="C104"/>
      <c r="D104"/>
      <c r="E104"/>
      <c r="F104"/>
      <c r="G104"/>
      <c r="H104"/>
      <c r="I104" s="124"/>
      <c r="J104"/>
      <c r="K104" s="1"/>
      <c r="L104" s="1"/>
      <c r="M104"/>
      <c r="N104"/>
    </row>
    <row r="105" spans="1:15" x14ac:dyDescent="0.25">
      <c r="A105" s="79"/>
      <c r="B105" s="571" t="str">
        <f>Language!B732</f>
        <v>Titan</v>
      </c>
      <c r="E105" s="575" t="str">
        <f>Language!B733</f>
        <v xml:space="preserve">      Paragrip</v>
      </c>
      <c r="F105" s="379"/>
      <c r="G105" s="396"/>
      <c r="I105" s="692" t="str">
        <f>Language!B735</f>
        <v>Maxgrepp 24"</v>
      </c>
      <c r="J105" s="396"/>
      <c r="N105" s="64"/>
    </row>
    <row r="106" spans="1:15" x14ac:dyDescent="0.25">
      <c r="B106" s="15"/>
      <c r="C106" s="59"/>
      <c r="E106" s="393"/>
      <c r="F106" s="393"/>
      <c r="I106" s="664" t="str">
        <f>Language!B736</f>
        <v>(innehåller latex)</v>
      </c>
      <c r="J106" s="53"/>
      <c r="M106" s="64"/>
    </row>
    <row r="107" spans="1:15" x14ac:dyDescent="0.25">
      <c r="C107" s="15"/>
      <c r="E107" s="572" t="str">
        <f>Language!B734</f>
        <v xml:space="preserve">       Tetragrip</v>
      </c>
      <c r="F107" s="368"/>
      <c r="G107" s="396"/>
      <c r="I107" s="693" t="str">
        <f>Language!B737</f>
        <v>Aluminium</v>
      </c>
    </row>
    <row r="108" spans="1:15" x14ac:dyDescent="0.25">
      <c r="C108" s="50" t="str">
        <f>Language!B657</f>
        <v>art.nr.</v>
      </c>
      <c r="E108" s="393"/>
      <c r="F108" s="393"/>
      <c r="H108" s="388"/>
      <c r="I108" s="38"/>
      <c r="L108" s="97"/>
    </row>
    <row r="109" spans="1:15" x14ac:dyDescent="0.25">
      <c r="B109" s="89" t="str">
        <f>Language!B656</f>
        <v>Rensa</v>
      </c>
      <c r="C109" s="343" t="str">
        <f>Weights_Swing!E110</f>
        <v/>
      </c>
      <c r="D109" t="s">
        <v>84</v>
      </c>
      <c r="K109" s="97"/>
    </row>
    <row r="110" spans="1:15" ht="12.75" customHeight="1" x14ac:dyDescent="0.25">
      <c r="F110" s="394"/>
    </row>
    <row r="111" spans="1:15" ht="15" customHeight="1" x14ac:dyDescent="0.25">
      <c r="A111" s="810" t="s">
        <v>42</v>
      </c>
      <c r="B111" s="810"/>
      <c r="C111" s="810"/>
      <c r="D111" s="810"/>
      <c r="E111" s="810"/>
      <c r="F111" s="810"/>
      <c r="G111" s="810"/>
      <c r="H111" s="810"/>
      <c r="I111" s="810"/>
      <c r="J111" s="810"/>
      <c r="K111" s="37"/>
      <c r="L111" s="37"/>
      <c r="M111" s="58"/>
      <c r="N111" s="57"/>
      <c r="O111" s="69"/>
    </row>
    <row r="112" spans="1:15" s="64" customFormat="1" x14ac:dyDescent="0.25">
      <c r="A112" s="14"/>
      <c r="B112"/>
      <c r="C112" s="23"/>
      <c r="D112"/>
      <c r="E112"/>
      <c r="F112" s="394"/>
      <c r="G112"/>
      <c r="H112"/>
      <c r="I112" s="124"/>
      <c r="J112"/>
      <c r="K112" s="1"/>
      <c r="L112" s="1"/>
      <c r="M112"/>
      <c r="N112"/>
    </row>
    <row r="113" spans="1:14" ht="15.75" x14ac:dyDescent="0.25">
      <c r="A113" s="809" t="str">
        <f>Language!B738</f>
        <v>Tillbehör</v>
      </c>
      <c r="B113" s="809"/>
      <c r="C113" s="93"/>
      <c r="D113" s="93"/>
      <c r="E113" s="93"/>
      <c r="F113" s="94"/>
      <c r="G113" s="93"/>
      <c r="H113" s="93"/>
      <c r="I113" s="129"/>
      <c r="J113" s="93"/>
      <c r="N113" s="64"/>
    </row>
    <row r="114" spans="1:14" ht="15.75" x14ac:dyDescent="0.25">
      <c r="A114" s="51"/>
      <c r="B114" s="51" t="str">
        <f>Language!B739</f>
        <v>Sidoskydd</v>
      </c>
      <c r="C114" s="64"/>
      <c r="D114" s="64"/>
      <c r="E114" s="64"/>
      <c r="F114" s="51" t="str">
        <f>Language!B740</f>
        <v>Armstöd S3</v>
      </c>
      <c r="G114" s="64"/>
      <c r="H114" s="64"/>
      <c r="I114" s="801" t="str">
        <f>Language!B741</f>
        <v>Sidoskydd Carbon</v>
      </c>
      <c r="J114" s="801"/>
      <c r="M114" s="64"/>
    </row>
    <row r="115" spans="1:14" x14ac:dyDescent="0.25">
      <c r="B115" s="574" t="str">
        <f>Language!B742</f>
        <v xml:space="preserve">  Sidoskydd S3</v>
      </c>
      <c r="C115" s="59"/>
      <c r="F115" s="573" t="str">
        <f>Language!B743</f>
        <v>Armstöd S3</v>
      </c>
      <c r="H115" s="43"/>
      <c r="I115" s="829" t="str">
        <f>Language!B744</f>
        <v>Utan skärm</v>
      </c>
      <c r="J115" s="829"/>
    </row>
    <row r="116" spans="1:14" x14ac:dyDescent="0.25">
      <c r="B116" s="388"/>
      <c r="C116" s="582" t="str">
        <f>Language!B747</f>
        <v>Video</v>
      </c>
      <c r="F116" s="582" t="str">
        <f>Language!B747</f>
        <v>Video</v>
      </c>
      <c r="G116" s="395"/>
      <c r="H116" s="43"/>
      <c r="I116" s="830" t="str">
        <f>Language!B745</f>
        <v>Liten skärm</v>
      </c>
      <c r="J116" s="830"/>
      <c r="L116" s="97"/>
    </row>
    <row r="117" spans="1:14" x14ac:dyDescent="0.25">
      <c r="C117" s="23"/>
      <c r="F117" s="395"/>
      <c r="G117" s="20"/>
      <c r="H117" s="15"/>
      <c r="I117" s="811" t="str">
        <f>Language!B746</f>
        <v>Stor skärm</v>
      </c>
      <c r="J117" s="811"/>
      <c r="K117" s="97"/>
    </row>
    <row r="118" spans="1:14" x14ac:dyDescent="0.25">
      <c r="B118" s="396"/>
      <c r="C118" s="50" t="str">
        <f>Language!B657</f>
        <v>art.nr.</v>
      </c>
      <c r="F118" s="396"/>
      <c r="J118" s="396"/>
    </row>
    <row r="119" spans="1:14" x14ac:dyDescent="0.25">
      <c r="B119" s="89" t="str">
        <f>Language!B656</f>
        <v>Rensa</v>
      </c>
      <c r="C119" s="343" t="str">
        <f>Weights_Swing!E117</f>
        <v/>
      </c>
    </row>
    <row r="121" spans="1:14" ht="15.75" x14ac:dyDescent="0.25">
      <c r="A121" s="51"/>
      <c r="B121" s="51" t="str">
        <f>Language!B748</f>
        <v xml:space="preserve"> Körhandtag</v>
      </c>
      <c r="C121" s="64"/>
      <c r="D121" s="64"/>
      <c r="E121" s="801" t="str">
        <f>Language!B749</f>
        <v>Fällbara körhandtag</v>
      </c>
      <c r="F121" s="801"/>
      <c r="G121" s="801"/>
      <c r="H121" s="51"/>
      <c r="I121" s="800" t="str">
        <f>Language!B750</f>
        <v>Körbåge</v>
      </c>
      <c r="J121" s="800"/>
    </row>
    <row r="122" spans="1:14" x14ac:dyDescent="0.25">
      <c r="A122" s="47"/>
      <c r="B122" s="575" t="str">
        <f>Language!B751</f>
        <v>Höj / sänkbara S3</v>
      </c>
      <c r="C122" s="571"/>
      <c r="D122" s="395"/>
      <c r="E122" s="370"/>
      <c r="F122" s="573" t="str">
        <f>Language!B753</f>
        <v>Fällbara S3</v>
      </c>
      <c r="G122" s="582" t="str">
        <f>Language!B747</f>
        <v>Video</v>
      </c>
      <c r="H122" s="380"/>
      <c r="I122" s="829" t="str">
        <f>Language!B754</f>
        <v>Körbåge S3</v>
      </c>
      <c r="J122" s="829"/>
    </row>
    <row r="123" spans="1:14" x14ac:dyDescent="0.25">
      <c r="B123" s="691" t="str">
        <f>Language!B747</f>
        <v>Video</v>
      </c>
      <c r="C123" s="695"/>
      <c r="E123" s="369"/>
      <c r="F123" s="38"/>
      <c r="G123" s="31"/>
      <c r="H123" s="380"/>
      <c r="I123" s="796"/>
      <c r="J123" s="796"/>
    </row>
    <row r="124" spans="1:14" x14ac:dyDescent="0.25">
      <c r="B124" s="575" t="str">
        <f>Language!B752</f>
        <v>Höj / sänkbara S3+10cm</v>
      </c>
      <c r="C124" s="34"/>
      <c r="F124" s="31"/>
      <c r="G124" s="31"/>
      <c r="H124" s="38"/>
      <c r="I124" s="796" t="str">
        <f>Language!B755</f>
        <v>Max. brukarvikt 100kg</v>
      </c>
      <c r="J124" s="796"/>
    </row>
    <row r="125" spans="1:14" x14ac:dyDescent="0.25">
      <c r="B125" s="54" t="str">
        <f>Language!B755</f>
        <v>Max. brukarvikt 100kg</v>
      </c>
      <c r="E125" s="369"/>
      <c r="F125" s="31"/>
      <c r="G125" s="21"/>
      <c r="K125"/>
      <c r="L125"/>
    </row>
    <row r="126" spans="1:14" x14ac:dyDescent="0.25">
      <c r="B126" s="396"/>
      <c r="C126" s="50" t="str">
        <f>Language!B657</f>
        <v>art.nr.</v>
      </c>
      <c r="E126" s="516"/>
      <c r="F126" s="396"/>
      <c r="J126" s="396"/>
      <c r="K126"/>
      <c r="L126"/>
    </row>
    <row r="127" spans="1:14" x14ac:dyDescent="0.25">
      <c r="B127" s="89" t="str">
        <f>Language!B656</f>
        <v>Rensa</v>
      </c>
      <c r="C127" s="365" t="str">
        <f>Weights_Swing!E123</f>
        <v/>
      </c>
      <c r="E127" s="368"/>
      <c r="K127"/>
      <c r="L127"/>
    </row>
    <row r="128" spans="1:14" x14ac:dyDescent="0.25">
      <c r="C128" s="23"/>
      <c r="E128" s="368"/>
      <c r="K128"/>
      <c r="L128"/>
    </row>
    <row r="129" spans="1:12" x14ac:dyDescent="0.25">
      <c r="C129" s="23"/>
      <c r="E129" s="368"/>
      <c r="I129" s="868" t="str">
        <f>Language!B763</f>
        <v>22" och 24"</v>
      </c>
      <c r="J129" s="810"/>
      <c r="K129"/>
      <c r="L129"/>
    </row>
    <row r="130" spans="1:12" ht="15.75" x14ac:dyDescent="0.25">
      <c r="B130" s="51" t="str">
        <f>Language!B756</f>
        <v>Tippskydd</v>
      </c>
      <c r="E130" s="106" t="str">
        <f>Language!B757</f>
        <v xml:space="preserve">              Dyna</v>
      </c>
      <c r="F130" s="51"/>
      <c r="G130" s="106" t="str">
        <f>Language!B758</f>
        <v>Kildyna</v>
      </c>
      <c r="H130" s="108"/>
      <c r="I130" s="800" t="str">
        <f>Language!B762</f>
        <v>Ekerskydd</v>
      </c>
      <c r="J130" s="800"/>
    </row>
    <row r="131" spans="1:12" ht="15.75" x14ac:dyDescent="0.25">
      <c r="A131" s="27"/>
      <c r="B131" s="571" t="str">
        <f>Language!B756</f>
        <v>Tippskydd</v>
      </c>
      <c r="C131" s="34"/>
      <c r="F131" s="576" t="s">
        <v>16</v>
      </c>
      <c r="G131" s="576" t="s">
        <v>244</v>
      </c>
      <c r="H131" s="34"/>
      <c r="I131" s="802" t="str">
        <f>Language!B764</f>
        <v xml:space="preserve">           Med logga</v>
      </c>
      <c r="J131" s="802"/>
    </row>
    <row r="132" spans="1:12" ht="15" customHeight="1" x14ac:dyDescent="0.25">
      <c r="A132" s="65"/>
      <c r="B132" s="584" t="str">
        <f>Language!B747</f>
        <v>Video</v>
      </c>
      <c r="C132" s="584"/>
      <c r="E132" s="21"/>
      <c r="F132" s="576" t="s">
        <v>17</v>
      </c>
      <c r="G132" s="144"/>
      <c r="H132" s="696"/>
      <c r="I132" s="803" t="str">
        <f>Language!B765</f>
        <v xml:space="preserve">            Utan logga</v>
      </c>
      <c r="J132" s="803"/>
    </row>
    <row r="133" spans="1:12" x14ac:dyDescent="0.25">
      <c r="B133" s="388"/>
      <c r="C133" s="388"/>
      <c r="E133" s="21"/>
      <c r="F133" s="244" t="str">
        <f>Language!B656</f>
        <v>Rensa</v>
      </c>
      <c r="G133" s="21"/>
      <c r="H133" s="44"/>
      <c r="I133" s="804" t="str">
        <f>Language!B656</f>
        <v>Rensa</v>
      </c>
      <c r="J133" s="804"/>
    </row>
    <row r="134" spans="1:12" x14ac:dyDescent="0.25">
      <c r="B134" s="8"/>
      <c r="F134" s="98"/>
      <c r="H134" s="15"/>
      <c r="I134" s="493"/>
      <c r="J134" s="396"/>
    </row>
    <row r="135" spans="1:12" x14ac:dyDescent="0.25">
      <c r="B135" s="396"/>
      <c r="C135" s="50" t="str">
        <f>Language!B657</f>
        <v>art.nr.</v>
      </c>
      <c r="D135" s="50"/>
      <c r="E135" s="50"/>
      <c r="F135" s="50" t="str">
        <f>Language!B657</f>
        <v>art.nr.</v>
      </c>
      <c r="G135" s="50" t="str">
        <f>Language!B657</f>
        <v>art.nr.</v>
      </c>
      <c r="H135" s="50"/>
      <c r="I135" s="50"/>
      <c r="J135" s="50" t="str">
        <f>Language!B657</f>
        <v>art.nr.</v>
      </c>
    </row>
    <row r="136" spans="1:12" x14ac:dyDescent="0.25">
      <c r="C136" s="365" t="str">
        <f>Weights_Swing!E125</f>
        <v/>
      </c>
      <c r="E136" s="396"/>
      <c r="F136" s="365" t="str">
        <f>Weights_Swing!E129</f>
        <v/>
      </c>
      <c r="G136" s="365" t="str">
        <f>Weights_Swing!E131</f>
        <v/>
      </c>
      <c r="H136" s="104"/>
      <c r="I136" s="123" t="str">
        <f>Language!B656</f>
        <v>Rensa</v>
      </c>
      <c r="J136" s="365" t="str">
        <f>Weights_Swing!E135</f>
        <v/>
      </c>
    </row>
    <row r="137" spans="1:12" x14ac:dyDescent="0.25">
      <c r="F137" s="370"/>
      <c r="I137" s="119"/>
    </row>
    <row r="138" spans="1:12" ht="15.75" x14ac:dyDescent="0.25">
      <c r="B138" s="51" t="str">
        <f>Language!B766</f>
        <v>Övrigt</v>
      </c>
      <c r="F138" s="697" t="str">
        <f>Language!B774</f>
        <v>Bord</v>
      </c>
      <c r="H138" s="106" t="str">
        <f>Language!B779</f>
        <v>Ekerskydd med tema</v>
      </c>
      <c r="I138" s="108"/>
    </row>
    <row r="139" spans="1:12" x14ac:dyDescent="0.25">
      <c r="B139" s="571" t="str">
        <f>Language!B767</f>
        <v>Rörskydd fram (ramrör)</v>
      </c>
      <c r="C139" s="368"/>
      <c r="D139" s="368"/>
      <c r="F139" s="586" t="str">
        <f>Language!B775</f>
        <v xml:space="preserve">     Bord S3</v>
      </c>
      <c r="G139" s="31"/>
      <c r="I139" s="869" t="str">
        <f>Language!B763</f>
        <v>22" och 24"</v>
      </c>
      <c r="J139" s="870"/>
    </row>
    <row r="140" spans="1:12" x14ac:dyDescent="0.25">
      <c r="B140" s="248" t="s">
        <v>90</v>
      </c>
      <c r="D140" s="396"/>
      <c r="F140" s="144">
        <v>6810020</v>
      </c>
      <c r="G140" s="396"/>
      <c r="I140" s="590" t="str">
        <f>Language!B780</f>
        <v>Splash</v>
      </c>
      <c r="J140" s="358"/>
    </row>
    <row r="141" spans="1:12" x14ac:dyDescent="0.25">
      <c r="B141" s="571" t="str">
        <f>Language!B768</f>
        <v>Rörskydd bak (ryggbåge)</v>
      </c>
      <c r="C141" s="368"/>
      <c r="D141" s="516"/>
      <c r="F141" s="699" t="str">
        <f>Language!B776</f>
        <v>reTyre</v>
      </c>
      <c r="G141" s="698" t="str">
        <f>Language!B778</f>
        <v>24", 25" och 26"</v>
      </c>
      <c r="I141" s="591" t="str">
        <f>Language!B781</f>
        <v>Car rim</v>
      </c>
    </row>
    <row r="142" spans="1:12" ht="15.75" x14ac:dyDescent="0.25">
      <c r="A142" s="27"/>
      <c r="B142" s="248" t="s">
        <v>91</v>
      </c>
      <c r="D142" s="396"/>
      <c r="E142" s="1"/>
      <c r="F142" s="586" t="str">
        <f>Language!B777</f>
        <v xml:space="preserve">       reTyre Traction</v>
      </c>
      <c r="G142" s="9"/>
      <c r="I142" s="591" t="str">
        <f>Language!B782</f>
        <v>Wild animals</v>
      </c>
    </row>
    <row r="143" spans="1:12" x14ac:dyDescent="0.25">
      <c r="B143" s="571" t="str">
        <f>Language!B769</f>
        <v>Kryckkäpsshållare S3</v>
      </c>
      <c r="C143" s="368"/>
      <c r="D143" s="397">
        <v>2</v>
      </c>
      <c r="E143" s="15" t="str">
        <f>Language!B771</f>
        <v>st</v>
      </c>
      <c r="F143" s="398" t="str">
        <f>Weights_Swing!E103</f>
        <v/>
      </c>
      <c r="G143" s="396"/>
      <c r="H143" s="368"/>
      <c r="I143" s="591" t="str">
        <f>Language!B783</f>
        <v>Smiley</v>
      </c>
      <c r="J143" s="50" t="str">
        <f>Language!B657</f>
        <v>art.nr.</v>
      </c>
    </row>
    <row r="144" spans="1:12" x14ac:dyDescent="0.25">
      <c r="B144" s="248" t="s">
        <v>92</v>
      </c>
      <c r="C144" s="15"/>
      <c r="D144" s="396"/>
      <c r="E144" s="15"/>
      <c r="F144" s="15"/>
      <c r="H144" s="15"/>
      <c r="I144" s="620" t="str">
        <f>Language!B656</f>
        <v>Rensa</v>
      </c>
      <c r="J144" s="365" t="str">
        <f>Weights_Swing!E141</f>
        <v/>
      </c>
    </row>
    <row r="145" spans="1:14" x14ac:dyDescent="0.25">
      <c r="B145" s="571" t="str">
        <f>Language!B770</f>
        <v>Ryggkil</v>
      </c>
      <c r="D145" s="397">
        <v>2</v>
      </c>
      <c r="E145" s="15" t="str">
        <f>Language!B771</f>
        <v>st</v>
      </c>
      <c r="F145" s="368"/>
      <c r="G145" s="21"/>
      <c r="H145" s="368"/>
    </row>
    <row r="146" spans="1:14" x14ac:dyDescent="0.25">
      <c r="B146" s="144">
        <v>4710012</v>
      </c>
      <c r="D146" s="396"/>
      <c r="F146" s="15"/>
      <c r="H146" s="15"/>
      <c r="I146" s="256"/>
    </row>
    <row r="147" spans="1:14" x14ac:dyDescent="0.25">
      <c r="B147" s="38" t="str">
        <f>Language!B772</f>
        <v>Välj art.nr. för Freewheel efter vilken fotstödshöjd rullstolen har.</v>
      </c>
      <c r="F147" s="15"/>
      <c r="H147" s="15"/>
    </row>
    <row r="148" spans="1:14" x14ac:dyDescent="0.25">
      <c r="B148" s="589" t="str">
        <f>Language!B773</f>
        <v>Läs mer om Freewheel på hemsidan</v>
      </c>
      <c r="C148" s="15"/>
      <c r="F148" s="396"/>
      <c r="H148" s="15"/>
    </row>
    <row r="149" spans="1:14" x14ac:dyDescent="0.25">
      <c r="B149" s="584" t="s">
        <v>18</v>
      </c>
      <c r="C149" s="806" t="s">
        <v>208</v>
      </c>
      <c r="D149" s="807"/>
      <c r="E149" s="808"/>
      <c r="F149" s="15"/>
      <c r="H149" s="15"/>
    </row>
    <row r="150" spans="1:14" x14ac:dyDescent="0.25">
      <c r="B150" s="15"/>
      <c r="C150" s="15"/>
      <c r="F150" s="15"/>
      <c r="H150" s="15"/>
    </row>
    <row r="151" spans="1:14" x14ac:dyDescent="0.25">
      <c r="C151" s="15"/>
    </row>
    <row r="152" spans="1:14" ht="15.75" x14ac:dyDescent="0.25">
      <c r="A152" s="809" t="str">
        <f>Language!B784</f>
        <v>Inställningar</v>
      </c>
      <c r="B152" s="809"/>
      <c r="C152" s="93"/>
      <c r="D152" s="93"/>
      <c r="E152" s="93"/>
      <c r="F152" s="93"/>
      <c r="G152" s="93"/>
      <c r="H152" s="93"/>
      <c r="I152" s="129"/>
      <c r="J152" s="93"/>
    </row>
    <row r="154" spans="1:14" ht="15.75" x14ac:dyDescent="0.25">
      <c r="B154" s="592" t="str">
        <f>Language!B785</f>
        <v>Ryggstödsvinkel</v>
      </c>
      <c r="F154" s="593" t="str">
        <f>Language!B788</f>
        <v>Bakaxeljustering</v>
      </c>
      <c r="G154" s="502"/>
    </row>
    <row r="155" spans="1:14" x14ac:dyDescent="0.25">
      <c r="B155" s="15" t="str">
        <f>Language!B786</f>
        <v>Ange måttet (A) för önskad ryggvinkel</v>
      </c>
      <c r="C155" s="15"/>
      <c r="D155" s="15"/>
      <c r="F155" s="15" t="str">
        <f>Language!B789</f>
        <v>Ange måttet (A) för önskad balansering</v>
      </c>
      <c r="H155" s="15"/>
    </row>
    <row r="156" spans="1:14" x14ac:dyDescent="0.25">
      <c r="B156" s="15" t="str">
        <f>Language!B787</f>
        <v>14-28 mm. Standard = 18 mm</v>
      </c>
      <c r="C156" s="15"/>
      <c r="D156" s="15"/>
      <c r="F156" s="824" t="str">
        <f>Weights_Swing!H150</f>
        <v/>
      </c>
      <c r="G156" s="824"/>
      <c r="H156" s="824"/>
      <c r="I156" s="824"/>
      <c r="J156" s="15"/>
      <c r="K156" s="44"/>
      <c r="L156" s="249"/>
      <c r="M156" s="31"/>
      <c r="N156" s="31"/>
    </row>
    <row r="157" spans="1:14" x14ac:dyDescent="0.25">
      <c r="B157" s="2" t="s">
        <v>20</v>
      </c>
      <c r="C157" s="70">
        <v>18</v>
      </c>
      <c r="D157" t="s">
        <v>21</v>
      </c>
      <c r="F157" s="2" t="s">
        <v>20</v>
      </c>
      <c r="G157" s="70"/>
      <c r="H157" t="s">
        <v>21</v>
      </c>
      <c r="I157" s="1"/>
      <c r="J157" s="1"/>
      <c r="K157" s="825"/>
      <c r="L157" s="825"/>
      <c r="M157" s="825"/>
      <c r="N157" s="825"/>
    </row>
    <row r="158" spans="1:14" x14ac:dyDescent="0.25">
      <c r="F158" s="1"/>
      <c r="G158" s="1"/>
      <c r="H158" s="1"/>
      <c r="I158" s="1"/>
      <c r="J158" s="1"/>
    </row>
    <row r="159" spans="1:14" x14ac:dyDescent="0.25">
      <c r="B159" s="66"/>
      <c r="F159" s="2"/>
    </row>
    <row r="160" spans="1:14" ht="15.75" x14ac:dyDescent="0.25">
      <c r="B160" s="594" t="str">
        <f>Language!B790</f>
        <v>Fotstödshöjd</v>
      </c>
      <c r="D160" s="594" t="str">
        <f>Language!B791</f>
        <v xml:space="preserve"> -  Fotplattor</v>
      </c>
      <c r="F160" s="449" t="str">
        <f>Language!B793</f>
        <v>Transportmärkning</v>
      </c>
    </row>
    <row r="161" spans="1:12" x14ac:dyDescent="0.25">
      <c r="B161" s="15" t="str">
        <f>Language!B792</f>
        <v>Ange måttet (A) eller (B) för önskat fotstöd</v>
      </c>
      <c r="F161" s="38" t="str">
        <f>Language!B794</f>
        <v xml:space="preserve">         JA märk upp stolen med fästpunkter för transport i färdtjänstfordon.</v>
      </c>
    </row>
    <row r="162" spans="1:12" x14ac:dyDescent="0.25">
      <c r="B162" s="2" t="s">
        <v>20</v>
      </c>
      <c r="C162" s="70"/>
      <c r="D162" t="s">
        <v>21</v>
      </c>
      <c r="F162" s="796" t="str">
        <f>Language!B795</f>
        <v>OBS! Se bruksanvisningen för närmare anvisningar.</v>
      </c>
      <c r="G162" s="796"/>
      <c r="H162" s="796"/>
      <c r="I162" s="796"/>
    </row>
    <row r="163" spans="1:12" x14ac:dyDescent="0.25">
      <c r="B163" s="2" t="s">
        <v>22</v>
      </c>
      <c r="C163" s="70"/>
      <c r="D163" t="s">
        <v>21</v>
      </c>
    </row>
    <row r="168" spans="1:12" x14ac:dyDescent="0.25">
      <c r="A168" s="67" t="str">
        <f>Language!B796</f>
        <v>Extra</v>
      </c>
      <c r="B168" s="438"/>
      <c r="C168" s="439"/>
      <c r="D168" s="439"/>
      <c r="E168" s="439"/>
      <c r="F168" s="439"/>
      <c r="G168" s="439"/>
      <c r="H168" s="439"/>
      <c r="I168" s="440"/>
    </row>
    <row r="169" spans="1:12" x14ac:dyDescent="0.25">
      <c r="B169" s="441"/>
      <c r="C169" s="442"/>
      <c r="D169" s="442"/>
      <c r="E169" s="442"/>
      <c r="F169" s="442"/>
      <c r="G169" s="442"/>
      <c r="H169" s="442"/>
      <c r="I169" s="443"/>
    </row>
    <row r="170" spans="1:12" x14ac:dyDescent="0.25">
      <c r="B170" s="441"/>
      <c r="C170" s="442"/>
      <c r="D170" s="442"/>
      <c r="E170" s="442"/>
      <c r="F170" s="442"/>
      <c r="G170" s="442"/>
      <c r="H170" s="442"/>
      <c r="I170" s="443"/>
    </row>
    <row r="171" spans="1:12" x14ac:dyDescent="0.25">
      <c r="B171" s="441"/>
      <c r="C171" s="442"/>
      <c r="D171" s="442"/>
      <c r="E171" s="442"/>
      <c r="F171" s="442"/>
      <c r="G171" s="442"/>
      <c r="H171" s="442"/>
      <c r="I171" s="443"/>
      <c r="L171" s="97"/>
    </row>
    <row r="172" spans="1:12" x14ac:dyDescent="0.25">
      <c r="B172" s="441"/>
      <c r="C172" s="442"/>
      <c r="D172" s="442"/>
      <c r="E172" s="442"/>
      <c r="F172" s="442"/>
      <c r="G172" s="442"/>
      <c r="H172" s="442"/>
      <c r="I172" s="443"/>
      <c r="K172" s="63"/>
      <c r="L172" s="97"/>
    </row>
    <row r="173" spans="1:12" x14ac:dyDescent="0.25">
      <c r="B173" s="441"/>
      <c r="C173" s="442"/>
      <c r="D173" s="442"/>
      <c r="E173" s="442"/>
      <c r="F173" s="442"/>
      <c r="G173" s="442"/>
      <c r="H173" s="442"/>
      <c r="I173" s="443"/>
      <c r="K173" s="63"/>
      <c r="L173" s="97"/>
    </row>
    <row r="174" spans="1:12" x14ac:dyDescent="0.25">
      <c r="B174" s="444"/>
      <c r="C174" s="445"/>
      <c r="D174" s="445"/>
      <c r="E174" s="445"/>
      <c r="F174" s="445"/>
      <c r="G174" s="445"/>
      <c r="H174" s="445"/>
      <c r="I174" s="446"/>
      <c r="K174" s="63"/>
      <c r="L174" s="97"/>
    </row>
    <row r="175" spans="1:12" x14ac:dyDescent="0.25">
      <c r="A175" s="796" t="s">
        <v>42</v>
      </c>
      <c r="B175" s="796"/>
      <c r="C175" s="796"/>
      <c r="D175" s="796"/>
      <c r="E175" s="796"/>
      <c r="F175" s="796"/>
      <c r="G175" s="796"/>
      <c r="H175" s="796"/>
      <c r="I175" s="796"/>
      <c r="J175" s="796"/>
      <c r="K175" s="63"/>
      <c r="L175" s="97"/>
    </row>
    <row r="176" spans="1:12" x14ac:dyDescent="0.25">
      <c r="A176" s="399"/>
      <c r="B176" s="64"/>
      <c r="C176" s="64"/>
      <c r="D176" s="64"/>
      <c r="E176" s="64"/>
      <c r="F176" s="64"/>
      <c r="G176" s="64"/>
      <c r="H176" s="448"/>
      <c r="I176" s="448"/>
      <c r="K176" s="63"/>
      <c r="L176" s="97"/>
    </row>
    <row r="177" spans="1:13" x14ac:dyDescent="0.25">
      <c r="A177" s="499"/>
      <c r="B177" s="477" t="str">
        <f>Language!B797</f>
        <v>Sammanställning:</v>
      </c>
      <c r="C177" s="400"/>
      <c r="D177" s="401" t="str">
        <f>Language!B798</f>
        <v>Beskrivning</v>
      </c>
      <c r="E177" s="400"/>
      <c r="F177" s="401" t="str">
        <f>Language!B799</f>
        <v>art.nr.</v>
      </c>
      <c r="G177" s="402"/>
      <c r="H177" s="788" t="str">
        <f>Language!B957</f>
        <v>Pris:</v>
      </c>
      <c r="I177" s="64"/>
      <c r="J177" s="130"/>
      <c r="K177" s="9"/>
      <c r="L177" s="63"/>
      <c r="M177" s="97"/>
    </row>
    <row r="178" spans="1:13" x14ac:dyDescent="0.25">
      <c r="A178"/>
      <c r="B178" s="403" t="str">
        <f>Language!B800</f>
        <v>1) S3 Swing modell</v>
      </c>
      <c r="C178" s="404"/>
      <c r="D178" s="403" t="str">
        <f>Weights_Swing!G3</f>
        <v/>
      </c>
      <c r="E178" s="405"/>
      <c r="F178" s="403" t="str">
        <f>C24</f>
        <v/>
      </c>
      <c r="G178" s="406"/>
      <c r="H178" s="782">
        <f>Weights_Swing!D10</f>
        <v>0</v>
      </c>
      <c r="I178" s="64"/>
      <c r="J178" s="130"/>
      <c r="K178" s="399"/>
      <c r="L178" s="63"/>
      <c r="M178" s="97"/>
    </row>
    <row r="179" spans="1:13" x14ac:dyDescent="0.25">
      <c r="A179"/>
      <c r="B179" s="403" t="str">
        <f>Language!B801</f>
        <v>2) Färg:</v>
      </c>
      <c r="C179" s="406"/>
      <c r="D179" s="403" t="str">
        <f>Weights_Swing!G12</f>
        <v/>
      </c>
      <c r="E179" s="405"/>
      <c r="F179" s="403" t="str">
        <f>C31</f>
        <v/>
      </c>
      <c r="G179" s="406"/>
      <c r="H179" s="778">
        <f>Weights_Swing!D15</f>
        <v>0</v>
      </c>
      <c r="I179" s="64"/>
      <c r="J179" s="130"/>
      <c r="K179" s="64"/>
      <c r="L179" s="97"/>
      <c r="M179" s="97"/>
    </row>
    <row r="180" spans="1:13" x14ac:dyDescent="0.25">
      <c r="A180"/>
      <c r="B180" s="403" t="str">
        <f>Language!B802</f>
        <v>3) Sittbredd:</v>
      </c>
      <c r="C180" s="406"/>
      <c r="D180" s="470" t="str">
        <f>C37</f>
        <v/>
      </c>
      <c r="E180" s="484" t="s">
        <v>165</v>
      </c>
      <c r="F180" s="403"/>
      <c r="G180" s="406"/>
      <c r="H180" s="778">
        <f>Weights_Swing!D25</f>
        <v>0</v>
      </c>
      <c r="I180" s="64"/>
      <c r="J180" s="130"/>
      <c r="K180" s="64"/>
      <c r="L180" s="97"/>
      <c r="M180" s="97"/>
    </row>
    <row r="181" spans="1:13" x14ac:dyDescent="0.25">
      <c r="A181"/>
      <c r="B181" s="403" t="str">
        <f>Language!B803</f>
        <v>4) Sittdjup:</v>
      </c>
      <c r="C181" s="406"/>
      <c r="D181" s="494" t="str">
        <f>C42</f>
        <v/>
      </c>
      <c r="E181" s="484" t="s">
        <v>165</v>
      </c>
      <c r="F181" s="403"/>
      <c r="G181" s="406"/>
      <c r="H181" s="778">
        <f>Weights_Swing!D33</f>
        <v>0</v>
      </c>
      <c r="I181" s="64"/>
      <c r="J181" s="130"/>
      <c r="K181" s="64"/>
      <c r="L181" s="97"/>
      <c r="M181" s="97"/>
    </row>
    <row r="182" spans="1:13" x14ac:dyDescent="0.25">
      <c r="A182"/>
      <c r="B182" s="403" t="str">
        <f>Language!B804</f>
        <v>5) Ryggstöd:</v>
      </c>
      <c r="C182" s="406"/>
      <c r="D182" s="403" t="str">
        <f>Weights_Swing!G35</f>
        <v/>
      </c>
      <c r="E182" s="450"/>
      <c r="F182" s="403" t="str">
        <f>C49</f>
        <v/>
      </c>
      <c r="G182" s="408"/>
      <c r="H182" s="778">
        <f>Weights_Swing!D43</f>
        <v>0</v>
      </c>
      <c r="I182" s="64"/>
      <c r="J182" s="130"/>
      <c r="K182" s="64"/>
      <c r="L182" s="97"/>
      <c r="M182" s="97"/>
    </row>
    <row r="183" spans="1:13" x14ac:dyDescent="0.25">
      <c r="A183"/>
      <c r="B183" s="710" t="str">
        <f>Language!B868</f>
        <v>(Ev.ryggklädsel)</v>
      </c>
      <c r="C183" s="406"/>
      <c r="D183" s="403"/>
      <c r="E183" s="450"/>
      <c r="F183" s="403" t="str">
        <f>C50</f>
        <v/>
      </c>
      <c r="G183" s="408"/>
      <c r="H183" s="778"/>
      <c r="I183" s="64"/>
      <c r="J183" s="130"/>
      <c r="K183" s="64"/>
      <c r="L183" s="97"/>
      <c r="M183" s="97"/>
    </row>
    <row r="184" spans="1:13" x14ac:dyDescent="0.25">
      <c r="A184"/>
      <c r="B184" s="403" t="str">
        <f>Language!B805</f>
        <v xml:space="preserve">  6) Ryggstödshöjd:</v>
      </c>
      <c r="C184" s="406"/>
      <c r="D184" s="471" t="str">
        <f>C55</f>
        <v/>
      </c>
      <c r="E184" s="484" t="s">
        <v>165</v>
      </c>
      <c r="F184" s="403"/>
      <c r="G184" s="409"/>
      <c r="H184" s="779"/>
      <c r="I184" s="64"/>
      <c r="J184" s="130"/>
      <c r="K184" s="64"/>
      <c r="L184" s="97"/>
      <c r="M184" s="97"/>
    </row>
    <row r="185" spans="1:13" x14ac:dyDescent="0.25">
      <c r="A185"/>
      <c r="B185" s="403" t="str">
        <f>Language!B806</f>
        <v>7) Bakaxel:</v>
      </c>
      <c r="C185" s="406"/>
      <c r="D185" s="403" t="str">
        <f>Weights_Swing!G52</f>
        <v/>
      </c>
      <c r="E185" s="407"/>
      <c r="F185" s="403" t="str">
        <f>C63</f>
        <v/>
      </c>
      <c r="G185" s="410"/>
      <c r="H185" s="778" t="str">
        <f>Weights_Swing!D56</f>
        <v>0</v>
      </c>
      <c r="I185" s="64"/>
      <c r="J185" s="130"/>
      <c r="K185" s="64"/>
      <c r="L185" s="97"/>
      <c r="M185" s="97"/>
    </row>
    <row r="186" spans="1:13" x14ac:dyDescent="0.25">
      <c r="A186"/>
      <c r="B186" s="403" t="str">
        <f>Language!B807</f>
        <v>8) Länkhjul:</v>
      </c>
      <c r="C186" s="406"/>
      <c r="D186" s="403" t="str">
        <f>Weights_Swing!G58</f>
        <v/>
      </c>
      <c r="E186" s="407"/>
      <c r="F186" s="403" t="str">
        <f>C69</f>
        <v/>
      </c>
      <c r="G186" s="411" t="s">
        <v>130</v>
      </c>
      <c r="H186" s="778">
        <f>Weights_Swing!D62</f>
        <v>0</v>
      </c>
      <c r="I186" s="64"/>
      <c r="J186" s="154"/>
      <c r="K186" s="64"/>
      <c r="L186" s="97"/>
      <c r="M186" s="97"/>
    </row>
    <row r="187" spans="1:13" x14ac:dyDescent="0.25">
      <c r="A187"/>
      <c r="B187" s="403" t="str">
        <f>Language!B808</f>
        <v>9) Fotstöd;</v>
      </c>
      <c r="C187" s="412"/>
      <c r="D187" s="403" t="str">
        <f>Weights_Swing!G64</f>
        <v/>
      </c>
      <c r="E187" s="413"/>
      <c r="F187" s="403" t="str">
        <f>Weights_Swing!E69</f>
        <v/>
      </c>
      <c r="G187" s="411"/>
      <c r="H187" s="778">
        <f>Weights_Swing!D69</f>
        <v>0</v>
      </c>
      <c r="I187" s="64"/>
      <c r="J187" s="154"/>
      <c r="K187" s="64"/>
      <c r="L187" s="97"/>
      <c r="M187" s="97"/>
    </row>
    <row r="188" spans="1:13" x14ac:dyDescent="0.25">
      <c r="A188"/>
      <c r="B188" s="403" t="str">
        <f>Language!B809</f>
        <v>Hälband:</v>
      </c>
      <c r="C188" s="412"/>
      <c r="D188" s="414" t="str">
        <f>Weights_Swing!G72</f>
        <v/>
      </c>
      <c r="E188" s="413"/>
      <c r="F188" s="403" t="str">
        <f>F78</f>
        <v/>
      </c>
      <c r="G188" s="411"/>
      <c r="H188" s="778">
        <f>Weights_Swing!D71</f>
        <v>0</v>
      </c>
      <c r="I188" s="64"/>
      <c r="J188" s="64"/>
      <c r="K188" s="64"/>
      <c r="L188" s="97"/>
      <c r="M188" s="97"/>
    </row>
    <row r="189" spans="1:13" x14ac:dyDescent="0.25">
      <c r="A189"/>
      <c r="B189" s="403" t="str">
        <f>Language!B811</f>
        <v>Broms:</v>
      </c>
      <c r="C189" s="406"/>
      <c r="D189" s="403" t="str">
        <f>Weights_Swing!G73</f>
        <v/>
      </c>
      <c r="E189" s="413"/>
      <c r="F189" s="403" t="str">
        <f>C86</f>
        <v/>
      </c>
      <c r="G189" s="411"/>
      <c r="H189" s="778" t="str">
        <f>Weights_Swing!D78</f>
        <v>0</v>
      </c>
      <c r="I189" s="64"/>
      <c r="J189" s="64"/>
      <c r="K189" s="156"/>
      <c r="L189" s="97"/>
      <c r="M189" s="97"/>
    </row>
    <row r="190" spans="1:13" x14ac:dyDescent="0.25">
      <c r="A190"/>
      <c r="B190" s="403" t="str">
        <f>Language!B812</f>
        <v>Drivhjul:</v>
      </c>
      <c r="C190" s="406"/>
      <c r="D190" s="403" t="str">
        <f>Weights_Swing!G85</f>
        <v/>
      </c>
      <c r="E190" s="413"/>
      <c r="F190" s="403" t="str">
        <f>C101</f>
        <v/>
      </c>
      <c r="G190" s="411" t="s">
        <v>130</v>
      </c>
      <c r="H190" s="778">
        <f>Weights_Swing!D97</f>
        <v>0</v>
      </c>
      <c r="I190" s="64"/>
      <c r="J190" s="64"/>
      <c r="K190" s="156"/>
      <c r="L190" s="97"/>
      <c r="M190" s="97"/>
    </row>
    <row r="191" spans="1:13" x14ac:dyDescent="0.25">
      <c r="A191"/>
      <c r="B191" s="403" t="str">
        <f>Language!B813</f>
        <v>Drivring:</v>
      </c>
      <c r="C191" s="406"/>
      <c r="D191" s="403" t="str">
        <f>Weights_Swing!G105</f>
        <v/>
      </c>
      <c r="E191" s="413"/>
      <c r="F191" s="403" t="str">
        <f>C109</f>
        <v/>
      </c>
      <c r="G191" s="411" t="s">
        <v>130</v>
      </c>
      <c r="H191" s="778">
        <f>Weights_Swing!D110</f>
        <v>0</v>
      </c>
      <c r="I191" s="64"/>
      <c r="J191" s="64"/>
      <c r="K191" s="64"/>
      <c r="L191" s="97"/>
      <c r="M191" s="97"/>
    </row>
    <row r="192" spans="1:13" x14ac:dyDescent="0.25">
      <c r="A192" s="488"/>
      <c r="B192" s="488" t="str">
        <f>Language!B814</f>
        <v>Tillbehör</v>
      </c>
      <c r="C192" s="402"/>
      <c r="D192" s="472"/>
      <c r="E192" s="473"/>
      <c r="F192" s="474"/>
      <c r="G192" s="475"/>
      <c r="H192" s="777"/>
      <c r="I192" s="64"/>
      <c r="J192" s="64"/>
      <c r="K192" s="64"/>
      <c r="L192" s="97"/>
      <c r="M192" s="97"/>
    </row>
    <row r="193" spans="1:13" x14ac:dyDescent="0.25">
      <c r="A193"/>
      <c r="B193" s="403" t="str">
        <f>Language!B815</f>
        <v>Sidoskydd:</v>
      </c>
      <c r="C193" s="406"/>
      <c r="D193" s="403" t="str">
        <f>Weights_Swing!G111</f>
        <v/>
      </c>
      <c r="E193" s="413"/>
      <c r="F193" s="403" t="str">
        <f>C119</f>
        <v/>
      </c>
      <c r="G193" s="410"/>
      <c r="H193" s="778">
        <f>Weights_Swing!D117</f>
        <v>0</v>
      </c>
      <c r="I193" s="64"/>
      <c r="J193" s="64"/>
      <c r="K193" s="64"/>
      <c r="L193" s="97"/>
      <c r="M193" s="97"/>
    </row>
    <row r="194" spans="1:13" x14ac:dyDescent="0.25">
      <c r="A194"/>
      <c r="B194" s="403" t="str">
        <f>Language!B816</f>
        <v>Körhandtag:</v>
      </c>
      <c r="C194" s="406"/>
      <c r="D194" s="403" t="str">
        <f>Weights_Swing!G119</f>
        <v/>
      </c>
      <c r="E194" s="413"/>
      <c r="F194" s="403" t="str">
        <f>C127</f>
        <v/>
      </c>
      <c r="G194" s="410"/>
      <c r="H194" s="778">
        <f>Weights_Swing!D123</f>
        <v>0</v>
      </c>
      <c r="I194" s="64"/>
      <c r="J194" s="64"/>
      <c r="K194" s="64"/>
      <c r="L194" s="97"/>
      <c r="M194" s="97"/>
    </row>
    <row r="195" spans="1:13" x14ac:dyDescent="0.25">
      <c r="A195"/>
      <c r="B195" s="403" t="str">
        <f>Language!B817</f>
        <v>Tippskydd:</v>
      </c>
      <c r="C195" s="406"/>
      <c r="D195" s="403" t="str">
        <f>Weights_Swing!G125</f>
        <v/>
      </c>
      <c r="E195" s="413"/>
      <c r="F195" s="403" t="str">
        <f>C136</f>
        <v/>
      </c>
      <c r="G195" s="410"/>
      <c r="H195" s="778" t="str">
        <f>Weights_Swing!D125</f>
        <v>0</v>
      </c>
      <c r="I195" s="64"/>
      <c r="J195" s="64"/>
      <c r="K195" s="64"/>
      <c r="L195" s="97"/>
      <c r="M195" s="97"/>
    </row>
    <row r="196" spans="1:13" x14ac:dyDescent="0.25">
      <c r="A196"/>
      <c r="B196" s="403" t="str">
        <f>Language!B818</f>
        <v>Dyna:</v>
      </c>
      <c r="C196" s="406"/>
      <c r="D196" s="403" t="str">
        <f>Weights_Swing!G129</f>
        <v/>
      </c>
      <c r="E196" s="413"/>
      <c r="F196" s="403" t="str">
        <f>F136</f>
        <v/>
      </c>
      <c r="G196" s="410"/>
      <c r="H196" s="778">
        <f>Weights_Swing!D129</f>
        <v>0</v>
      </c>
      <c r="I196" s="64"/>
      <c r="J196" s="64"/>
      <c r="K196" s="64"/>
      <c r="L196" s="97"/>
      <c r="M196" s="97"/>
    </row>
    <row r="197" spans="1:13" x14ac:dyDescent="0.25">
      <c r="A197"/>
      <c r="B197" s="403" t="str">
        <f>Language!B819</f>
        <v>Kildyna:</v>
      </c>
      <c r="C197" s="406"/>
      <c r="D197" s="403" t="str">
        <f>Weights_Swing!G131</f>
        <v/>
      </c>
      <c r="E197" s="413"/>
      <c r="F197" s="403" t="str">
        <f>G136</f>
        <v/>
      </c>
      <c r="G197" s="410"/>
      <c r="H197" s="778" t="str">
        <f>Weights_Swing!D131</f>
        <v>0</v>
      </c>
      <c r="I197" s="64"/>
      <c r="J197" s="64"/>
      <c r="K197" s="64"/>
      <c r="L197" s="97"/>
      <c r="M197" s="97"/>
    </row>
    <row r="198" spans="1:13" x14ac:dyDescent="0.25">
      <c r="A198"/>
      <c r="B198" s="403" t="str">
        <f>Language!B820</f>
        <v>Ekerskydd:</v>
      </c>
      <c r="C198" s="406"/>
      <c r="D198" s="403" t="str">
        <f>Weights_Swing!G135</f>
        <v/>
      </c>
      <c r="E198" s="413"/>
      <c r="F198" s="403" t="str">
        <f>J136</f>
        <v/>
      </c>
      <c r="G198" s="410"/>
      <c r="H198" s="778">
        <f>Weights_Swing!D135</f>
        <v>0</v>
      </c>
      <c r="I198" s="64"/>
      <c r="J198" s="64"/>
      <c r="K198" s="64"/>
      <c r="L198" s="97"/>
      <c r="M198" s="97"/>
    </row>
    <row r="199" spans="1:13" x14ac:dyDescent="0.25">
      <c r="A199"/>
      <c r="B199" s="403" t="str">
        <f>Language!B821</f>
        <v>Rörskydd,Fram:</v>
      </c>
      <c r="C199" s="406"/>
      <c r="D199" s="403" t="str">
        <f>Weights_Swing!I143</f>
        <v/>
      </c>
      <c r="E199" s="413"/>
      <c r="F199" s="403" t="str">
        <f>Weights_Swing!L143</f>
        <v/>
      </c>
      <c r="G199" s="410">
        <v>2</v>
      </c>
      <c r="H199" s="778">
        <f>Weights_Swing!D143</f>
        <v>0</v>
      </c>
      <c r="I199" s="64"/>
      <c r="J199" s="64"/>
      <c r="K199" s="64"/>
      <c r="L199" s="97"/>
      <c r="M199" s="97"/>
    </row>
    <row r="200" spans="1:13" x14ac:dyDescent="0.25">
      <c r="A200"/>
      <c r="B200" s="403" t="str">
        <f>Language!B822</f>
        <v>Rörskydd, bak:</v>
      </c>
      <c r="C200" s="406"/>
      <c r="D200" s="403" t="str">
        <f>Weights_Swing!I144</f>
        <v/>
      </c>
      <c r="E200" s="413"/>
      <c r="F200" s="403" t="str">
        <f>Weights_Swing!L144</f>
        <v/>
      </c>
      <c r="G200" s="410">
        <v>1</v>
      </c>
      <c r="H200" s="778">
        <f>Weights_Swing!D144</f>
        <v>0</v>
      </c>
      <c r="I200" s="64"/>
      <c r="J200" s="64"/>
      <c r="K200" s="64"/>
      <c r="L200" s="97"/>
      <c r="M200" s="97"/>
    </row>
    <row r="201" spans="1:13" x14ac:dyDescent="0.25">
      <c r="A201"/>
      <c r="B201" s="403" t="str">
        <f>Language!B823</f>
        <v>Kryckkhållare:</v>
      </c>
      <c r="C201" s="416"/>
      <c r="D201" s="403" t="str">
        <f>Weights_Swing!I145</f>
        <v/>
      </c>
      <c r="E201" s="417"/>
      <c r="F201" s="403" t="str">
        <f>Weights_Swing!L145</f>
        <v/>
      </c>
      <c r="G201" s="410">
        <f>D143</f>
        <v>2</v>
      </c>
      <c r="H201" s="778">
        <f>Weights_Swing!D145</f>
        <v>0</v>
      </c>
      <c r="I201" s="64"/>
      <c r="J201" s="64"/>
      <c r="K201" s="64"/>
      <c r="L201" s="97"/>
      <c r="M201" s="97"/>
    </row>
    <row r="202" spans="1:13" x14ac:dyDescent="0.25">
      <c r="A202"/>
      <c r="B202" s="403" t="str">
        <f>Language!B824</f>
        <v>Ryggkil:</v>
      </c>
      <c r="C202" s="416"/>
      <c r="D202" s="403" t="str">
        <f>Weights_Swing!I146</f>
        <v/>
      </c>
      <c r="E202" s="417"/>
      <c r="F202" s="403" t="str">
        <f>Weights_Swing!L146</f>
        <v/>
      </c>
      <c r="G202" s="410">
        <f>D145</f>
        <v>2</v>
      </c>
      <c r="H202" s="778">
        <f>Weights_Swing!D146</f>
        <v>0</v>
      </c>
      <c r="I202" s="64"/>
      <c r="J202" s="64"/>
      <c r="K202" s="64"/>
      <c r="L202" s="97"/>
      <c r="M202" s="97"/>
    </row>
    <row r="203" spans="1:13" x14ac:dyDescent="0.25">
      <c r="A203"/>
      <c r="B203" s="403" t="str">
        <f>Language!B825</f>
        <v>Freewheel</v>
      </c>
      <c r="C203" s="416"/>
      <c r="D203" s="418" t="str">
        <f>Weights_Swing!I147</f>
        <v/>
      </c>
      <c r="E203" s="482"/>
      <c r="F203" s="403" t="str">
        <f>Weights_Swing!L147</f>
        <v/>
      </c>
      <c r="G203" s="410"/>
      <c r="H203" s="778">
        <f>Weights_Swing!D147</f>
        <v>0</v>
      </c>
      <c r="I203" s="64"/>
      <c r="J203" s="64"/>
      <c r="K203" s="64"/>
      <c r="L203" s="97"/>
      <c r="M203" s="97"/>
    </row>
    <row r="204" spans="1:13" x14ac:dyDescent="0.25">
      <c r="A204"/>
      <c r="B204" s="403" t="str">
        <f>Language!B826</f>
        <v>Bord:</v>
      </c>
      <c r="C204" s="416"/>
      <c r="D204" s="403" t="str">
        <f>Weights_Swing!I148</f>
        <v/>
      </c>
      <c r="E204" s="416"/>
      <c r="F204" s="403" t="str">
        <f>Weights_Swing!L148</f>
        <v/>
      </c>
      <c r="G204" s="419"/>
      <c r="H204" s="778">
        <f>Weights_Swing!D148</f>
        <v>0</v>
      </c>
      <c r="I204" s="64"/>
      <c r="J204" s="64"/>
      <c r="K204" s="64"/>
      <c r="L204" s="97"/>
      <c r="M204" s="97"/>
    </row>
    <row r="205" spans="1:13" x14ac:dyDescent="0.25">
      <c r="A205"/>
      <c r="B205" s="403" t="str">
        <f>Language!B827</f>
        <v>reTyre:</v>
      </c>
      <c r="C205" s="416"/>
      <c r="D205" s="403" t="str">
        <f>Weights_Swing!I103</f>
        <v/>
      </c>
      <c r="E205" s="416"/>
      <c r="F205" s="403" t="str">
        <f>F143</f>
        <v/>
      </c>
      <c r="G205" s="419"/>
      <c r="H205" s="778">
        <f>Weights_Swing!D103</f>
        <v>0</v>
      </c>
      <c r="I205" s="64"/>
      <c r="J205" s="64"/>
      <c r="K205" s="64"/>
      <c r="L205" s="97"/>
      <c r="M205" s="97"/>
    </row>
    <row r="206" spans="1:13" x14ac:dyDescent="0.25">
      <c r="A206"/>
      <c r="B206" s="403" t="str">
        <f>Language!B828</f>
        <v>Ekerskydd:</v>
      </c>
      <c r="C206" s="416"/>
      <c r="D206" s="416"/>
      <c r="E206" s="416"/>
      <c r="F206" s="419"/>
      <c r="G206" s="419"/>
      <c r="H206" s="778"/>
      <c r="I206"/>
      <c r="J206" s="124"/>
      <c r="K206" s="64"/>
      <c r="L206" s="97"/>
      <c r="M206" s="97"/>
    </row>
    <row r="207" spans="1:13" x14ac:dyDescent="0.25">
      <c r="A207"/>
      <c r="B207" s="403" t="str">
        <f>Language!B829</f>
        <v>med tema:</v>
      </c>
      <c r="C207" s="416"/>
      <c r="D207" s="403" t="str">
        <f>Weights_Swing!G137</f>
        <v/>
      </c>
      <c r="E207" s="417" cm="1">
        <f t="array" ref="E207">_xlfn.SWITCH(D207,TRUE,(Weights_Swing!B144),)</f>
        <v>0</v>
      </c>
      <c r="F207" s="403" t="str">
        <f>J144</f>
        <v/>
      </c>
      <c r="G207" s="417" t="s">
        <v>34</v>
      </c>
      <c r="H207" s="778">
        <f>Weights_Swing!D141</f>
        <v>0</v>
      </c>
      <c r="I207"/>
      <c r="J207" s="124"/>
      <c r="K207" s="64"/>
      <c r="L207" s="63"/>
      <c r="M207" s="97"/>
    </row>
    <row r="208" spans="1:13" x14ac:dyDescent="0.25">
      <c r="A208" s="472"/>
      <c r="B208" s="488" t="str">
        <f>Language!B830</f>
        <v xml:space="preserve"> Inställningar</v>
      </c>
      <c r="C208" s="402"/>
      <c r="D208" s="472"/>
      <c r="E208" s="473"/>
      <c r="F208" s="474"/>
      <c r="G208" s="475"/>
      <c r="H208" s="777"/>
      <c r="I208"/>
      <c r="J208" s="124"/>
      <c r="K208" s="64"/>
      <c r="L208" s="63"/>
      <c r="M208" s="97"/>
    </row>
    <row r="209" spans="1:13" x14ac:dyDescent="0.25">
      <c r="A209"/>
      <c r="B209" s="403" t="str">
        <f>Language!B831</f>
        <v>Ryggstödsvinkel:</v>
      </c>
      <c r="C209" s="416"/>
      <c r="D209" s="403">
        <f>C157</f>
        <v>18</v>
      </c>
      <c r="E209" s="418" t="s">
        <v>21</v>
      </c>
      <c r="F209" s="403"/>
      <c r="G209" s="417" t="s">
        <v>35</v>
      </c>
      <c r="H209" s="416" cm="1">
        <f t="array" ref="H209">_xlfn.SWITCH(D209,TRUE,(Weights_Swing!C145),)</f>
        <v>0</v>
      </c>
      <c r="I209"/>
      <c r="J209" s="124"/>
      <c r="K209" s="64"/>
      <c r="L209" s="63"/>
      <c r="M209" s="97"/>
    </row>
    <row r="210" spans="1:13" x14ac:dyDescent="0.25">
      <c r="A210"/>
      <c r="B210" s="403" t="str">
        <f>Language!B832</f>
        <v>Bakaxel:</v>
      </c>
      <c r="C210" s="416"/>
      <c r="D210" s="403">
        <f>G157</f>
        <v>0</v>
      </c>
      <c r="E210" s="418" t="s">
        <v>21</v>
      </c>
      <c r="F210" s="403"/>
      <c r="G210" s="417"/>
      <c r="H210" s="416">
        <f>H209*D143</f>
        <v>0</v>
      </c>
      <c r="I210" s="132"/>
      <c r="J210" s="132" cm="1">
        <f t="array" ref="J210">_xlfn.SWITCH(D207,TRUE,(Weights_Swing!E144),)</f>
        <v>0</v>
      </c>
      <c r="K210" s="132"/>
      <c r="L210" s="97"/>
      <c r="M210" s="97"/>
    </row>
    <row r="211" spans="1:13" x14ac:dyDescent="0.25">
      <c r="A211"/>
      <c r="B211" s="403" t="str">
        <f>Language!B833</f>
        <v>Fotstöd A:</v>
      </c>
      <c r="C211" s="416"/>
      <c r="D211" s="497">
        <f>C162</f>
        <v>0</v>
      </c>
      <c r="E211" s="490" t="s">
        <v>21</v>
      </c>
      <c r="F211" s="453" t="s">
        <v>33</v>
      </c>
      <c r="G211" s="452" t="s">
        <v>36</v>
      </c>
      <c r="H211" s="416"/>
      <c r="I211" s="132"/>
      <c r="J211" s="132" cm="1">
        <f t="array" ref="J211">_xlfn.SWITCH(D209,TRUE,(Weights_Swing!E145),)</f>
        <v>0</v>
      </c>
      <c r="K211" s="132"/>
      <c r="L211" s="97"/>
      <c r="M211" s="97"/>
    </row>
    <row r="212" spans="1:13" x14ac:dyDescent="0.25">
      <c r="A212"/>
      <c r="B212" s="403" t="str">
        <f>Language!B834</f>
        <v>Fotstöd B:</v>
      </c>
      <c r="C212" s="416"/>
      <c r="D212" s="497">
        <f>C163</f>
        <v>0</v>
      </c>
      <c r="E212" s="490" t="s">
        <v>21</v>
      </c>
      <c r="F212" s="453" t="s">
        <v>39</v>
      </c>
      <c r="G212" s="452" t="s">
        <v>37</v>
      </c>
      <c r="H212" s="416">
        <f>H211*D145</f>
        <v>0</v>
      </c>
      <c r="I212" s="132"/>
      <c r="J212" s="132" cm="1">
        <f t="array" ref="J212">_xlfn.SWITCH(D211,TRUE,(Weights_Swing!E146),)</f>
        <v>0</v>
      </c>
      <c r="K212" s="132"/>
      <c r="L212" s="97"/>
      <c r="M212" s="97"/>
    </row>
    <row r="213" spans="1:13" x14ac:dyDescent="0.25">
      <c r="A213"/>
      <c r="B213" s="403" t="str">
        <f>Language!B835</f>
        <v>Transportmärkning:</v>
      </c>
      <c r="C213" s="416"/>
      <c r="D213" s="498" t="str" cm="1">
        <f t="array" ref="D213">_xlfn.SWITCH(E213,TRUE,("JA"),"NEJ")</f>
        <v>NEJ</v>
      </c>
      <c r="E213" s="452" t="b">
        <v>0</v>
      </c>
      <c r="F213" s="453" t="s">
        <v>18</v>
      </c>
      <c r="G213" s="452" t="s">
        <v>38</v>
      </c>
      <c r="H213" s="416" cm="1">
        <f t="array" ref="H213">_xlfn.SWITCH(D213,TRUE,(Weights_Swing!C147),)</f>
        <v>0</v>
      </c>
      <c r="I213" s="132"/>
      <c r="J213" s="132" cm="1">
        <f t="array" ref="J213">_xlfn.SWITCH(D211,TRUE,(Weights_Swing!E146),)</f>
        <v>0</v>
      </c>
      <c r="K213" s="132"/>
      <c r="L213" s="97"/>
      <c r="M213" s="97"/>
    </row>
    <row r="214" spans="1:13" x14ac:dyDescent="0.25">
      <c r="A214" s="68"/>
      <c r="B214" s="64"/>
      <c r="C214" s="57"/>
      <c r="D214" s="97"/>
      <c r="E214" s="155"/>
      <c r="F214" s="57"/>
      <c r="G214" s="64"/>
      <c r="H214" s="64"/>
      <c r="I214" s="64"/>
      <c r="J214" s="64"/>
      <c r="K214" s="97"/>
      <c r="L214" s="97"/>
    </row>
    <row r="215" spans="1:13" x14ac:dyDescent="0.25">
      <c r="A215" s="68"/>
      <c r="B215" s="64"/>
      <c r="C215" s="64"/>
      <c r="D215" s="64"/>
      <c r="E215" s="64"/>
      <c r="F215" s="57"/>
      <c r="G215" s="64"/>
      <c r="H215" s="64"/>
      <c r="I215" s="64"/>
      <c r="J215" s="64"/>
      <c r="K215" s="97"/>
      <c r="L215" s="97"/>
    </row>
    <row r="216" spans="1:13" x14ac:dyDescent="0.25">
      <c r="A216" s="68"/>
      <c r="B216" s="64"/>
      <c r="C216" s="64"/>
      <c r="D216" s="64"/>
      <c r="E216" s="64"/>
      <c r="F216" s="64"/>
      <c r="G216" s="64"/>
      <c r="H216" s="64"/>
      <c r="I216" s="64"/>
      <c r="J216" s="64"/>
      <c r="K216" s="97"/>
      <c r="L216" s="97"/>
    </row>
    <row r="217" spans="1:13" x14ac:dyDescent="0.25">
      <c r="A217" s="68"/>
      <c r="B217" s="64"/>
      <c r="C217" s="64"/>
      <c r="D217" s="64"/>
      <c r="E217" s="64"/>
      <c r="F217" s="64"/>
      <c r="G217" s="64"/>
      <c r="H217" s="64"/>
      <c r="I217" s="130"/>
      <c r="J217" s="64"/>
      <c r="K217" s="97"/>
      <c r="L217" s="97"/>
    </row>
    <row r="218" spans="1:13" x14ac:dyDescent="0.25">
      <c r="A218" s="68"/>
      <c r="B218" s="64"/>
      <c r="C218" s="64"/>
      <c r="D218" s="64"/>
      <c r="E218" s="64"/>
      <c r="F218" s="64"/>
      <c r="G218" s="64"/>
      <c r="H218" s="64"/>
      <c r="I218" s="130"/>
      <c r="J218" s="64"/>
      <c r="K218" s="97"/>
      <c r="L218" s="97"/>
    </row>
    <row r="219" spans="1:13" x14ac:dyDescent="0.25">
      <c r="A219" s="68"/>
      <c r="B219" s="64"/>
      <c r="C219" s="64"/>
      <c r="D219" s="64"/>
      <c r="E219" s="64"/>
      <c r="F219" s="64"/>
      <c r="G219" s="64"/>
      <c r="H219" s="64"/>
      <c r="I219" s="130"/>
      <c r="J219" s="64"/>
      <c r="K219" s="97"/>
      <c r="L219" s="97"/>
    </row>
    <row r="220" spans="1:13" x14ac:dyDescent="0.25">
      <c r="A220" s="68"/>
      <c r="B220" s="64"/>
      <c r="C220" s="64"/>
      <c r="D220" s="64"/>
      <c r="E220" s="64"/>
      <c r="F220" s="64"/>
      <c r="G220" s="64"/>
      <c r="H220" s="64"/>
      <c r="I220" s="130"/>
      <c r="J220" s="64"/>
      <c r="K220" s="97"/>
      <c r="L220" s="97"/>
    </row>
    <row r="221" spans="1:13" x14ac:dyDescent="0.25">
      <c r="A221" s="68"/>
      <c r="B221" s="64"/>
      <c r="C221" s="64"/>
      <c r="D221" s="64"/>
      <c r="E221" s="64"/>
      <c r="F221" s="64"/>
      <c r="G221" s="64"/>
      <c r="H221" s="64"/>
      <c r="I221" s="130"/>
      <c r="J221" s="64"/>
      <c r="K221" s="97"/>
      <c r="L221" s="97"/>
    </row>
    <row r="222" spans="1:13" x14ac:dyDescent="0.25">
      <c r="A222" s="68"/>
      <c r="B222" s="64"/>
      <c r="C222" s="64"/>
      <c r="D222" s="64"/>
      <c r="E222" s="64"/>
      <c r="F222" s="64"/>
      <c r="G222" s="64"/>
      <c r="H222" s="64"/>
      <c r="I222" s="130"/>
      <c r="J222" s="64"/>
      <c r="K222" s="97"/>
      <c r="L222" s="97"/>
    </row>
    <row r="223" spans="1:13" x14ac:dyDescent="0.25">
      <c r="A223"/>
      <c r="I223"/>
      <c r="K223"/>
      <c r="L223"/>
    </row>
    <row r="224" spans="1:13" x14ac:dyDescent="0.25">
      <c r="A224"/>
      <c r="I224"/>
      <c r="K224"/>
      <c r="L224"/>
    </row>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711" spans="2:3" ht="15.75" x14ac:dyDescent="0.25">
      <c r="B711" s="686" t="s">
        <v>4778</v>
      </c>
      <c r="C711" s="686" t="s">
        <v>4778</v>
      </c>
    </row>
    <row r="721" spans="2:3" x14ac:dyDescent="0.25">
      <c r="B721" t="s">
        <v>13</v>
      </c>
      <c r="C721" t="s">
        <v>13</v>
      </c>
    </row>
    <row r="722" spans="2:3" x14ac:dyDescent="0.25">
      <c r="B722" t="s">
        <v>4689</v>
      </c>
      <c r="C722" t="s">
        <v>4689</v>
      </c>
    </row>
    <row r="724" spans="2:3" x14ac:dyDescent="0.25">
      <c r="B724" t="s">
        <v>173</v>
      </c>
      <c r="C724" t="s">
        <v>173</v>
      </c>
    </row>
    <row r="725" spans="2:3" x14ac:dyDescent="0.25">
      <c r="B725" t="s">
        <v>4782</v>
      </c>
      <c r="C725" t="s">
        <v>4782</v>
      </c>
    </row>
    <row r="726" spans="2:3" x14ac:dyDescent="0.25">
      <c r="B726" t="s">
        <v>4783</v>
      </c>
      <c r="C726" t="s">
        <v>4783</v>
      </c>
    </row>
    <row r="727" spans="2:3" x14ac:dyDescent="0.25">
      <c r="B727" t="s">
        <v>4784</v>
      </c>
      <c r="C727" t="s">
        <v>4784</v>
      </c>
    </row>
    <row r="732" spans="2:3" x14ac:dyDescent="0.25">
      <c r="B732" t="s">
        <v>4672</v>
      </c>
      <c r="C732" t="s">
        <v>4672</v>
      </c>
    </row>
    <row r="733" spans="2:3" x14ac:dyDescent="0.25">
      <c r="B733" t="s">
        <v>44</v>
      </c>
      <c r="C733" t="s">
        <v>44</v>
      </c>
    </row>
    <row r="734" spans="2:3" x14ac:dyDescent="0.25">
      <c r="B734" t="s">
        <v>216</v>
      </c>
      <c r="C734" t="s">
        <v>216</v>
      </c>
    </row>
    <row r="735" spans="2:3" x14ac:dyDescent="0.25">
      <c r="B735" t="s">
        <v>217</v>
      </c>
      <c r="C735" t="s">
        <v>217</v>
      </c>
    </row>
    <row r="736" spans="2:3" x14ac:dyDescent="0.25">
      <c r="B736" t="s">
        <v>348</v>
      </c>
      <c r="C736" t="s">
        <v>348</v>
      </c>
    </row>
    <row r="737" spans="2:3" x14ac:dyDescent="0.25">
      <c r="B737" t="s">
        <v>219</v>
      </c>
      <c r="C737" t="s">
        <v>219</v>
      </c>
    </row>
    <row r="738" spans="2:3" x14ac:dyDescent="0.25">
      <c r="B738" t="s">
        <v>379</v>
      </c>
      <c r="C738" t="s">
        <v>379</v>
      </c>
    </row>
    <row r="739" spans="2:3" x14ac:dyDescent="0.25">
      <c r="B739" t="s">
        <v>380</v>
      </c>
      <c r="C739" t="s">
        <v>380</v>
      </c>
    </row>
    <row r="740" spans="2:3" x14ac:dyDescent="0.25">
      <c r="B740" t="s">
        <v>381</v>
      </c>
      <c r="C740" t="s">
        <v>381</v>
      </c>
    </row>
    <row r="741" spans="2:3" x14ac:dyDescent="0.25">
      <c r="B741" t="s">
        <v>382</v>
      </c>
      <c r="C741" t="s">
        <v>382</v>
      </c>
    </row>
    <row r="742" spans="2:3" x14ac:dyDescent="0.25">
      <c r="B742" t="s">
        <v>4788</v>
      </c>
      <c r="C742" t="s">
        <v>4788</v>
      </c>
    </row>
    <row r="746" spans="2:3" x14ac:dyDescent="0.25">
      <c r="B746" t="s">
        <v>211</v>
      </c>
      <c r="C746" t="s">
        <v>211</v>
      </c>
    </row>
    <row r="747" spans="2:3" x14ac:dyDescent="0.25">
      <c r="B747" t="s">
        <v>4717</v>
      </c>
      <c r="C747" t="s">
        <v>4717</v>
      </c>
    </row>
    <row r="748" spans="2:3" x14ac:dyDescent="0.25">
      <c r="B748" t="s">
        <v>4526</v>
      </c>
      <c r="C748" t="s">
        <v>4526</v>
      </c>
    </row>
    <row r="749" spans="2:3" x14ac:dyDescent="0.25">
      <c r="B749" t="s">
        <v>4718</v>
      </c>
      <c r="C749" t="s">
        <v>4718</v>
      </c>
    </row>
    <row r="750" spans="2:3" x14ac:dyDescent="0.25">
      <c r="B750" t="s">
        <v>350</v>
      </c>
      <c r="C750" t="s">
        <v>350</v>
      </c>
    </row>
    <row r="751" spans="2:3" x14ac:dyDescent="0.25">
      <c r="B751" t="s">
        <v>31</v>
      </c>
      <c r="C751" t="s">
        <v>31</v>
      </c>
    </row>
    <row r="753" spans="2:3" x14ac:dyDescent="0.25">
      <c r="B753" t="s">
        <v>228</v>
      </c>
      <c r="C753" t="s">
        <v>228</v>
      </c>
    </row>
    <row r="754" spans="2:3" x14ac:dyDescent="0.25">
      <c r="B754" t="s">
        <v>231</v>
      </c>
      <c r="C754" t="s">
        <v>231</v>
      </c>
    </row>
    <row r="755" spans="2:3" x14ac:dyDescent="0.25">
      <c r="B755" s="64"/>
      <c r="C755" s="64"/>
    </row>
    <row r="756" spans="2:3" x14ac:dyDescent="0.25">
      <c r="B756" t="s">
        <v>229</v>
      </c>
      <c r="C756" t="s">
        <v>229</v>
      </c>
    </row>
    <row r="757" spans="2:3" x14ac:dyDescent="0.25">
      <c r="B757" t="s">
        <v>231</v>
      </c>
      <c r="C757" t="s">
        <v>231</v>
      </c>
    </row>
    <row r="758" spans="2:3" x14ac:dyDescent="0.25">
      <c r="B758" t="s">
        <v>233</v>
      </c>
      <c r="C758" t="s">
        <v>233</v>
      </c>
    </row>
    <row r="759" spans="2:3" x14ac:dyDescent="0.25">
      <c r="B759" t="s">
        <v>383</v>
      </c>
      <c r="C759" t="s">
        <v>383</v>
      </c>
    </row>
    <row r="760" spans="2:3" x14ac:dyDescent="0.25">
      <c r="B760" t="s">
        <v>234</v>
      </c>
      <c r="C760" t="s">
        <v>234</v>
      </c>
    </row>
    <row r="761" spans="2:3" x14ac:dyDescent="0.25">
      <c r="B761" t="s">
        <v>32</v>
      </c>
      <c r="C761" t="s">
        <v>32</v>
      </c>
    </row>
    <row r="777" spans="2:3" x14ac:dyDescent="0.25">
      <c r="B777" t="s">
        <v>4792</v>
      </c>
      <c r="C777" t="s">
        <v>4792</v>
      </c>
    </row>
    <row r="780" spans="2:3" x14ac:dyDescent="0.25">
      <c r="B780" s="540"/>
      <c r="C780" s="540"/>
    </row>
    <row r="781" spans="2:3" x14ac:dyDescent="0.25">
      <c r="B781" t="s">
        <v>247</v>
      </c>
      <c r="C781" t="s">
        <v>247</v>
      </c>
    </row>
    <row r="782" spans="2:3" x14ac:dyDescent="0.25">
      <c r="B782" t="s">
        <v>248</v>
      </c>
      <c r="C782" t="s">
        <v>248</v>
      </c>
    </row>
    <row r="783" spans="2:3" x14ac:dyDescent="0.25">
      <c r="B783" t="s">
        <v>333</v>
      </c>
      <c r="C783" t="s">
        <v>333</v>
      </c>
    </row>
    <row r="784" spans="2:3" x14ac:dyDescent="0.25">
      <c r="B784" t="s">
        <v>33</v>
      </c>
      <c r="C784" t="s">
        <v>33</v>
      </c>
    </row>
    <row r="785" spans="2:3" x14ac:dyDescent="0.25">
      <c r="B785" t="s">
        <v>250</v>
      </c>
      <c r="C785" t="s">
        <v>250</v>
      </c>
    </row>
    <row r="787" spans="2:3" x14ac:dyDescent="0.25">
      <c r="B787" t="s">
        <v>253</v>
      </c>
      <c r="C787" t="s">
        <v>253</v>
      </c>
    </row>
    <row r="788" spans="2:3" x14ac:dyDescent="0.25">
      <c r="B788" t="s">
        <v>251</v>
      </c>
      <c r="C788" t="s">
        <v>251</v>
      </c>
    </row>
    <row r="789" spans="2:3" x14ac:dyDescent="0.25">
      <c r="B789" t="s">
        <v>4791</v>
      </c>
      <c r="C789" t="s">
        <v>4791</v>
      </c>
    </row>
    <row r="800" spans="2:3" x14ac:dyDescent="0.25">
      <c r="B800" t="s">
        <v>257</v>
      </c>
      <c r="C800" t="s">
        <v>257</v>
      </c>
    </row>
    <row r="801" spans="2:3" x14ac:dyDescent="0.25">
      <c r="B801" t="s">
        <v>171</v>
      </c>
      <c r="C801" t="s">
        <v>171</v>
      </c>
    </row>
    <row r="803" spans="2:3" x14ac:dyDescent="0.25">
      <c r="B803" t="s">
        <v>258</v>
      </c>
      <c r="C803" t="s">
        <v>258</v>
      </c>
    </row>
    <row r="804" spans="2:3" x14ac:dyDescent="0.25">
      <c r="B804" t="s">
        <v>259</v>
      </c>
      <c r="C804" t="s">
        <v>259</v>
      </c>
    </row>
    <row r="805" spans="2:3" x14ac:dyDescent="0.25">
      <c r="B805" t="s">
        <v>4680</v>
      </c>
      <c r="C805" t="s">
        <v>4680</v>
      </c>
    </row>
    <row r="806" spans="2:3" x14ac:dyDescent="0.25">
      <c r="B806" t="s">
        <v>260</v>
      </c>
      <c r="C806" t="s">
        <v>260</v>
      </c>
    </row>
    <row r="807" spans="2:3" x14ac:dyDescent="0.25">
      <c r="B807" t="s">
        <v>261</v>
      </c>
      <c r="C807" t="s">
        <v>261</v>
      </c>
    </row>
    <row r="808" spans="2:3" x14ac:dyDescent="0.25">
      <c r="B808" t="s">
        <v>384</v>
      </c>
      <c r="C808" t="s">
        <v>384</v>
      </c>
    </row>
    <row r="809" spans="2:3" x14ac:dyDescent="0.25">
      <c r="B809" t="s">
        <v>262</v>
      </c>
      <c r="C809" t="s">
        <v>262</v>
      </c>
    </row>
    <row r="810" spans="2:3" x14ac:dyDescent="0.25">
      <c r="B810" t="s">
        <v>100</v>
      </c>
    </row>
    <row r="811" spans="2:3" x14ac:dyDescent="0.25">
      <c r="B811" s="700" t="s">
        <v>180</v>
      </c>
      <c r="C811" s="700" t="s">
        <v>180</v>
      </c>
    </row>
    <row r="812" spans="2:3" x14ac:dyDescent="0.25">
      <c r="B812" s="68"/>
      <c r="C812" s="68"/>
    </row>
    <row r="813" spans="2:3" x14ac:dyDescent="0.25">
      <c r="B813" s="14"/>
      <c r="C813" s="14"/>
    </row>
    <row r="814" spans="2:3" x14ac:dyDescent="0.25">
      <c r="B814" t="s">
        <v>4768</v>
      </c>
      <c r="C814" t="s">
        <v>4768</v>
      </c>
    </row>
    <row r="815" spans="2:3" x14ac:dyDescent="0.25">
      <c r="B815" t="s">
        <v>4681</v>
      </c>
      <c r="C815" t="s">
        <v>4681</v>
      </c>
    </row>
    <row r="816" spans="2:3" x14ac:dyDescent="0.25">
      <c r="B816" t="s">
        <v>4682</v>
      </c>
      <c r="C816" t="s">
        <v>4682</v>
      </c>
    </row>
    <row r="817" spans="2:3" x14ac:dyDescent="0.25">
      <c r="B817" t="s">
        <v>4683</v>
      </c>
      <c r="C817" t="s">
        <v>4683</v>
      </c>
    </row>
    <row r="818" spans="2:3" x14ac:dyDescent="0.25">
      <c r="B818" t="s">
        <v>4684</v>
      </c>
      <c r="C818" t="s">
        <v>4684</v>
      </c>
    </row>
    <row r="819" spans="2:3" x14ac:dyDescent="0.25">
      <c r="B819" t="s">
        <v>4685</v>
      </c>
      <c r="C819" t="s">
        <v>4685</v>
      </c>
    </row>
    <row r="820" spans="2:3" x14ac:dyDescent="0.25">
      <c r="B820" t="s">
        <v>4686</v>
      </c>
      <c r="C820" t="s">
        <v>4686</v>
      </c>
    </row>
    <row r="821" spans="2:3" x14ac:dyDescent="0.25">
      <c r="B821" t="s">
        <v>4687</v>
      </c>
      <c r="C821" t="s">
        <v>4687</v>
      </c>
    </row>
    <row r="822" spans="2:3" x14ac:dyDescent="0.25">
      <c r="B822" t="s">
        <v>4795</v>
      </c>
      <c r="C822" t="s">
        <v>4795</v>
      </c>
    </row>
    <row r="823" spans="2:3" x14ac:dyDescent="0.25">
      <c r="B823" t="s">
        <v>264</v>
      </c>
      <c r="C823" t="s">
        <v>264</v>
      </c>
    </row>
    <row r="824" spans="2:3" x14ac:dyDescent="0.25">
      <c r="B824" t="s">
        <v>265</v>
      </c>
      <c r="C824" t="s">
        <v>265</v>
      </c>
    </row>
    <row r="825" spans="2:3" x14ac:dyDescent="0.25">
      <c r="B825" t="s">
        <v>266</v>
      </c>
      <c r="C825" t="s">
        <v>266</v>
      </c>
    </row>
    <row r="826" spans="2:3" x14ac:dyDescent="0.25">
      <c r="B826" t="s">
        <v>267</v>
      </c>
      <c r="C826" t="s">
        <v>267</v>
      </c>
    </row>
    <row r="827" spans="2:3" x14ac:dyDescent="0.25">
      <c r="B827" t="s">
        <v>268</v>
      </c>
      <c r="C827" t="s">
        <v>268</v>
      </c>
    </row>
    <row r="828" spans="2:3" x14ac:dyDescent="0.25">
      <c r="B828" t="s">
        <v>227</v>
      </c>
      <c r="C828" t="s">
        <v>227</v>
      </c>
    </row>
    <row r="829" spans="2:3" x14ac:dyDescent="0.25">
      <c r="B829" t="s">
        <v>269</v>
      </c>
      <c r="C829" t="s">
        <v>269</v>
      </c>
    </row>
    <row r="830" spans="2:3" x14ac:dyDescent="0.25">
      <c r="B830" t="s">
        <v>270</v>
      </c>
      <c r="C830" t="s">
        <v>270</v>
      </c>
    </row>
    <row r="831" spans="2:3" x14ac:dyDescent="0.25">
      <c r="B831" t="s">
        <v>271</v>
      </c>
      <c r="C831" t="s">
        <v>271</v>
      </c>
    </row>
    <row r="832" spans="2:3" x14ac:dyDescent="0.25">
      <c r="B832" t="s">
        <v>272</v>
      </c>
      <c r="C832" t="s">
        <v>272</v>
      </c>
    </row>
    <row r="833" spans="2:3" x14ac:dyDescent="0.25">
      <c r="B833" t="s">
        <v>273</v>
      </c>
      <c r="C833" t="s">
        <v>273</v>
      </c>
    </row>
    <row r="834" spans="2:3" x14ac:dyDescent="0.25">
      <c r="B834" t="s">
        <v>274</v>
      </c>
      <c r="C834" t="s">
        <v>274</v>
      </c>
    </row>
    <row r="835" spans="2:3" x14ac:dyDescent="0.25">
      <c r="B835" t="s">
        <v>275</v>
      </c>
      <c r="C835" t="s">
        <v>275</v>
      </c>
    </row>
    <row r="836" spans="2:3" x14ac:dyDescent="0.25">
      <c r="B836" t="s">
        <v>276</v>
      </c>
      <c r="C836" t="s">
        <v>276</v>
      </c>
    </row>
    <row r="837" spans="2:3" x14ac:dyDescent="0.25">
      <c r="B837" t="s">
        <v>277</v>
      </c>
      <c r="C837" t="s">
        <v>277</v>
      </c>
    </row>
    <row r="838" spans="2:3" x14ac:dyDescent="0.25">
      <c r="B838" t="s">
        <v>278</v>
      </c>
      <c r="C838" t="s">
        <v>278</v>
      </c>
    </row>
    <row r="839" spans="2:3" x14ac:dyDescent="0.25">
      <c r="B839" t="s">
        <v>18</v>
      </c>
      <c r="C839" t="s">
        <v>18</v>
      </c>
    </row>
    <row r="840" spans="2:3" x14ac:dyDescent="0.25">
      <c r="B840" t="s">
        <v>279</v>
      </c>
      <c r="C840" t="s">
        <v>279</v>
      </c>
    </row>
    <row r="841" spans="2:3" x14ac:dyDescent="0.25">
      <c r="B841" t="s">
        <v>131</v>
      </c>
      <c r="C841" t="s">
        <v>131</v>
      </c>
    </row>
    <row r="842" spans="2:3" x14ac:dyDescent="0.25">
      <c r="B842" t="s">
        <v>274</v>
      </c>
      <c r="C842" t="s">
        <v>274</v>
      </c>
    </row>
    <row r="843" spans="2:3" x14ac:dyDescent="0.25">
      <c r="B843" t="s">
        <v>280</v>
      </c>
      <c r="C843" t="s">
        <v>280</v>
      </c>
    </row>
    <row r="844" spans="2:3" x14ac:dyDescent="0.25">
      <c r="B844" t="s">
        <v>281</v>
      </c>
      <c r="C844" t="s">
        <v>281</v>
      </c>
    </row>
    <row r="845" spans="2:3" x14ac:dyDescent="0.25">
      <c r="B845" t="s">
        <v>282</v>
      </c>
      <c r="C845" t="s">
        <v>282</v>
      </c>
    </row>
    <row r="846" spans="2:3" x14ac:dyDescent="0.25">
      <c r="B846" t="s">
        <v>283</v>
      </c>
      <c r="C846" t="s">
        <v>283</v>
      </c>
    </row>
    <row r="847" spans="2:3" x14ac:dyDescent="0.25">
      <c r="B847" t="s">
        <v>284</v>
      </c>
      <c r="C847" t="s">
        <v>284</v>
      </c>
    </row>
    <row r="848" spans="2:3" x14ac:dyDescent="0.25">
      <c r="B848" t="s">
        <v>285</v>
      </c>
      <c r="C848" t="s">
        <v>285</v>
      </c>
    </row>
    <row r="849" spans="2:3" x14ac:dyDescent="0.25">
      <c r="B849" t="s">
        <v>367</v>
      </c>
      <c r="C849" t="s">
        <v>367</v>
      </c>
    </row>
  </sheetData>
  <sheetProtection algorithmName="SHA-512" hashValue="q6ZQlq/XHtaOJ15vt4PcsqGkPBafSPuix5nttS7rDX2+6Nne3JlHj7sGzl1tL9LLZu6+HWNIXS/cy6XKnGDVYA==" saltValue="e4pzgG9Op7SSl4G0a77iwQ==" spinCount="100000" sheet="1" objects="1" scenarios="1"/>
  <mergeCells count="54">
    <mergeCell ref="H3:J3"/>
    <mergeCell ref="H5:J5"/>
    <mergeCell ref="H6:J6"/>
    <mergeCell ref="H7:J7"/>
    <mergeCell ref="C149:E149"/>
    <mergeCell ref="D87:E87"/>
    <mergeCell ref="E24:H24"/>
    <mergeCell ref="E29:G29"/>
    <mergeCell ref="H8:J8"/>
    <mergeCell ref="H9:J9"/>
    <mergeCell ref="A10:J10"/>
    <mergeCell ref="A11:J11"/>
    <mergeCell ref="A12:J12"/>
    <mergeCell ref="A152:B152"/>
    <mergeCell ref="I117:J117"/>
    <mergeCell ref="A111:J111"/>
    <mergeCell ref="A113:B113"/>
    <mergeCell ref="I114:J114"/>
    <mergeCell ref="I115:J115"/>
    <mergeCell ref="I116:J116"/>
    <mergeCell ref="I129:J129"/>
    <mergeCell ref="I139:J139"/>
    <mergeCell ref="K157:N157"/>
    <mergeCell ref="I122:J122"/>
    <mergeCell ref="I123:J123"/>
    <mergeCell ref="I124:J124"/>
    <mergeCell ref="I130:J130"/>
    <mergeCell ref="I131:J131"/>
    <mergeCell ref="I132:J132"/>
    <mergeCell ref="I133:J133"/>
    <mergeCell ref="L30:M30"/>
    <mergeCell ref="H46:I46"/>
    <mergeCell ref="H47:I47"/>
    <mergeCell ref="A56:J56"/>
    <mergeCell ref="E73:F73"/>
    <mergeCell ref="H73:J73"/>
    <mergeCell ref="E30:G30"/>
    <mergeCell ref="E63:G63"/>
    <mergeCell ref="F162:I162"/>
    <mergeCell ref="A175:J175"/>
    <mergeCell ref="B2:G2"/>
    <mergeCell ref="F19:H19"/>
    <mergeCell ref="F156:I156"/>
    <mergeCell ref="A57:J57"/>
    <mergeCell ref="B5:D5"/>
    <mergeCell ref="F5:G5"/>
    <mergeCell ref="B6:D6"/>
    <mergeCell ref="F6:G6"/>
    <mergeCell ref="B7:D7"/>
    <mergeCell ref="E121:G121"/>
    <mergeCell ref="I121:J121"/>
    <mergeCell ref="H61:I61"/>
    <mergeCell ref="H83:I83"/>
    <mergeCell ref="D85:E85"/>
  </mergeCells>
  <dataValidations count="1">
    <dataValidation type="list" allowBlank="1" showInputMessage="1" showErrorMessage="1" sqref="I95" xr:uid="{1E746446-A6D1-4602-8161-D52305A4A99D}">
      <formula1>$B$192:$B$198</formula1>
    </dataValidation>
  </dataValidations>
  <hyperlinks>
    <hyperlink ref="H46" r:id="rId1" display="Annat ryggstöd" xr:uid="{6CFF751C-D6BA-4C3E-9046-232E711B2B06}"/>
    <hyperlink ref="B61" r:id="rId2" display="Carbon Standard" xr:uid="{14F9B94A-E33E-4BE8-8B31-042797D40860}"/>
    <hyperlink ref="B83" r:id="rId3" display="S3 Standard" xr:uid="{BA35C753-7922-499F-98F2-01578C553B75}"/>
    <hyperlink ref="H83" r:id="rId4" display="Annan broms" xr:uid="{2095FFE5-1D81-4C81-B61E-BEEC21A8F243}"/>
    <hyperlink ref="H90" r:id="rId5" display="                      One arm drive" xr:uid="{D2D60AF1-8B5F-4C17-A350-630BFA83D20E}"/>
    <hyperlink ref="B105" r:id="rId6" display="Titan" xr:uid="{AA72C587-BDC8-49A4-976F-4B38F9E298F8}"/>
    <hyperlink ref="B115" r:id="rId7" display="  Sidoskydd S3" xr:uid="{29EE6105-1454-4162-B441-3A0A5CB002D2}"/>
    <hyperlink ref="C116" r:id="rId8" display="Video" xr:uid="{ECF75BC3-1801-4E1D-A077-61125AD22644}"/>
    <hyperlink ref="B122" r:id="rId9" display="Höj / sänkbara S3" xr:uid="{6DA9492A-3A15-4EC7-B25B-06D9F6448D4C}"/>
    <hyperlink ref="B124" r:id="rId10" display="Höj / sänkbara S3+10cm" xr:uid="{BC52CAD1-98A9-4260-8F94-BD1D077DDF57}"/>
    <hyperlink ref="G122" r:id="rId11" display="Video" xr:uid="{F84DA8E5-5193-4619-82CE-BE5E7821137D}"/>
    <hyperlink ref="F122" r:id="rId12" display="Fällbara S3" xr:uid="{CA32BE92-C2B2-4261-B1A5-41762E614A1D}"/>
    <hyperlink ref="F131" r:id="rId13" xr:uid="{19B1ABD4-3ACC-4C3E-BE1B-0807CE729241}"/>
    <hyperlink ref="G131" r:id="rId14" xr:uid="{31CCAB2F-32F6-4F20-AE3B-F952CEB893B5}"/>
    <hyperlink ref="E46" r:id="rId15" display="         Tapered *" xr:uid="{86711B03-83CF-444F-8FF0-E695C39CD38E}"/>
    <hyperlink ref="E61" r:id="rId16" display="     Carbon +15 mm" xr:uid="{A699E581-5279-451E-BB0B-2F8F7030A867}"/>
    <hyperlink ref="B149" r:id="rId17" xr:uid="{28CEB2CA-4EA1-4B3E-AF8C-794DDD64B3BE}"/>
    <hyperlink ref="E67" r:id="rId18" display="  90 mm" xr:uid="{FCF6C7DA-8880-448E-9CBB-4A3F762BDF2C}"/>
    <hyperlink ref="H61" r:id="rId19" display="Annan bakaxel" xr:uid="{B44F08EF-F0EE-4433-8E4A-403D20B732E3}"/>
    <hyperlink ref="E90" r:id="rId20" display="       22&quot; Std" xr:uid="{0AF1D330-03EA-4B6D-80E5-0F014B3ED3BF}"/>
    <hyperlink ref="E105" r:id="rId21" display="       Paragrip" xr:uid="{7E2CBF4A-B475-4A57-AAD5-D6DAE15481E2}"/>
    <hyperlink ref="E107" r:id="rId22" display="     Tetragrip" xr:uid="{41535066-7E04-4052-9FCD-FE9A9D14EC65}"/>
    <hyperlink ref="I122" r:id="rId23" display="Körbåge S3" xr:uid="{354F8B08-4368-4CE1-AADB-E995DE712F3E}"/>
    <hyperlink ref="C90" r:id="rId24" display="Right Run" xr:uid="{7AAD57F8-7A56-477F-ACE2-3CE0456D4E1D}"/>
    <hyperlink ref="E93" r:id="rId25" display="       25&quot;  Spinergy X" xr:uid="{5E75DE80-80B6-4C51-960F-797AE2CFBC3A}"/>
    <hyperlink ref="G93" r:id="rId26" display="Right Run" xr:uid="{5DC6D869-3D22-434B-8BD8-F18932C312F8}"/>
    <hyperlink ref="G94" r:id="rId27" display="Marathon Plus" xr:uid="{E7FA43FC-2ADA-4C44-B350-E07F8246E1B7}"/>
    <hyperlink ref="E97" r:id="rId28" display="       25&quot;  Spinergy X Vita" xr:uid="{2B3CD80B-F865-49AB-8F1C-E739DD213750}"/>
    <hyperlink ref="B67" r:id="rId29" display="120 mm" xr:uid="{5D75A112-1E7E-45D8-82E9-D4D177E8E580}"/>
    <hyperlink ref="I107" r:id="rId30" display="Aluminium" xr:uid="{20CC664A-6D9C-40D6-8E45-F82730C27F4A}"/>
    <hyperlink ref="B16" r:id="rId31" display="S3 Swing" xr:uid="{12141E1F-E2F9-46BA-B732-D44C9DD6A81E}"/>
    <hyperlink ref="B17" r:id="rId32" display="https://www.panthera.se/products/produkt_S3_kort.html" xr:uid="{58AC2C03-2114-4FAC-B8B4-7DE90E0DC7DC}"/>
    <hyperlink ref="E48" r:id="rId33" display="        Fixed backrest ***" xr:uid="{7B1ABEBB-6807-48AF-B058-C57D3A43BAF3}"/>
    <hyperlink ref="H46:I46" r:id="rId34" display="           Tapered 6 cm *" xr:uid="{052A8549-92EA-41D9-816F-C0885F1BE4FB}"/>
    <hyperlink ref="H47" r:id="rId35" display="Annat ryggstöd" xr:uid="{2275F6AD-889F-405F-8919-A38FD40011F1}"/>
    <hyperlink ref="H47:I47" r:id="rId36" display="           Flared 3 cm **" xr:uid="{4D7B9CDD-0F7C-40E1-9EEA-A9659AFD66D9}"/>
    <hyperlink ref="H83:I83" r:id="rId37" display="              Assistant brake" xr:uid="{45AFE977-C7ED-4663-A275-D4E382CB35F6}"/>
    <hyperlink ref="F116" r:id="rId38" display="Video" xr:uid="{8581E95D-6A33-4555-B40C-24860BBEEA73}"/>
    <hyperlink ref="I116:J116" r:id="rId39" display="Liten skörm" xr:uid="{F5443B53-0B30-4ADD-8127-43220EDCB99F}"/>
    <hyperlink ref="B123" r:id="rId40" display="4252060 VER2  Video" xr:uid="{1797047F-A42F-4FF3-8E36-8FB78F76B111}"/>
    <hyperlink ref="B132" r:id="rId41" display="Video" xr:uid="{7D90F8DF-95B7-4659-882A-641F765F6E76}"/>
    <hyperlink ref="F132" r:id="rId42" xr:uid="{99FCABA9-BB9A-4C1A-8AEB-111C27BC6F94}"/>
    <hyperlink ref="I131:J131" r:id="rId43" display="           Med logga" xr:uid="{58FB72AA-05E3-489F-B32E-72169100D809}"/>
    <hyperlink ref="I132:J132" r:id="rId44" display="            Utan logga" xr:uid="{42650B07-7211-4FAF-A0CE-31E54698FA42}"/>
    <hyperlink ref="I122:J122" r:id="rId45" display="Körbåge S3" xr:uid="{FA0699B5-2FB9-4ACC-A150-CA2381D49DE2}"/>
    <hyperlink ref="B131" r:id="rId46" display="Tippskydd" xr:uid="{732F5152-6526-4CDB-B275-0834C5672F56}"/>
    <hyperlink ref="I141" r:id="rId47" display="Car rim" xr:uid="{D88E7356-6E32-40F8-8B9E-19CC3237E583}"/>
    <hyperlink ref="I142" r:id="rId48" display="Wild animals" xr:uid="{C1959710-69AB-4F0A-9AAC-DC965C285A90}"/>
    <hyperlink ref="I143" r:id="rId49" display="Smiley" xr:uid="{304AA40F-73AB-4BA0-9752-39CCDC4148D0}"/>
    <hyperlink ref="B46" r:id="rId50" display="Standard" xr:uid="{6B1AFB45-A589-4B42-B20E-B69166031D62}"/>
    <hyperlink ref="B17:C17" r:id="rId51" display="S3 Swing Short" xr:uid="{41AFA900-2B4F-40F6-8484-1909C6651D4B}"/>
    <hyperlink ref="B18" r:id="rId52" display="https://www.panthera.se/products/produkt_S3_swing_0.html" xr:uid="{33E41CB0-6E38-4DB0-B5B9-E9606169E96B}"/>
    <hyperlink ref="B20" r:id="rId53" display="https://www.panthera.se/products/produkt_S3_swing_long_50.html" xr:uid="{FC9A0A08-D6C2-49BD-BCF1-6DF83E5D6FB2}"/>
    <hyperlink ref="E77:G77" r:id="rId54" location="halband" display="           Heel strap for footplates" xr:uid="{0952D0DF-07A6-4F3B-82A9-272C543053C3}"/>
    <hyperlink ref="F115" r:id="rId55" display="Arm support S3" xr:uid="{7A4E0F6F-86BD-48E3-B29C-A1E07B674ABD}"/>
    <hyperlink ref="F139" r:id="rId56" display="       Bord S3" xr:uid="{DE58065A-0A2D-438C-A5FF-BF96FAB2E0D6}"/>
    <hyperlink ref="F142" r:id="rId57" display="       reTyre Traction" xr:uid="{9A68A0F9-76CE-46AA-A0CF-5C4282D29657}"/>
    <hyperlink ref="B73" r:id="rId58" display="S3 Swing " xr:uid="{7486BE1B-69EF-4404-B574-AD4AB9203A0F}"/>
    <hyperlink ref="E73:F73" r:id="rId59" display="      Foot plate large " xr:uid="{B6A7E32B-4BB4-4C38-9DB0-579B336765DC}"/>
    <hyperlink ref="H73:J73" r:id="rId60" display="    Extended tubes 40 mm" xr:uid="{7D207F3C-87EC-4255-8CD4-B480FF859360}"/>
    <hyperlink ref="A3" location="'S3 U3 Swing'!A4" display="start page" xr:uid="{AE4CF002-CC37-450F-AC99-217AEF668CF7}"/>
    <hyperlink ref="E77" r:id="rId61" location="halband" display="           Heel strap for footplates" xr:uid="{923EC4DC-396A-4F49-AB78-138D3B1D4FCE}"/>
    <hyperlink ref="B90" r:id="rId62" display="24&quot; Standard" xr:uid="{B0759E69-643E-4736-82E3-FBAB69785E97}"/>
    <hyperlink ref="B139:D139" r:id="rId63" display="Tube protection front(chassis tube)" xr:uid="{E3CC37B5-5F76-4282-9A1B-3ECF154185FE}"/>
    <hyperlink ref="B141:D141" r:id="rId64" display="Tube protection rear (back rest bow)" xr:uid="{86D9F2E7-A195-4A36-B694-5400E901D716}"/>
    <hyperlink ref="B145" r:id="rId65" display="Backrest wedge" xr:uid="{95DCC2E5-96CC-4DD5-B7B2-4E0EEF3E1E2C}"/>
    <hyperlink ref="B143" r:id="rId66" display="Crutch holder S3" xr:uid="{B66EB6E6-81B1-4E7F-B2B1-65FDAF065D6F}"/>
    <hyperlink ref="B148" r:id="rId67" display="Läs mer om Freewheel på hemsidan" xr:uid="{91C38DDF-D982-4993-BA21-9F95FE00D1B5}"/>
    <hyperlink ref="B154" r:id="rId68" display="Back rest angle" xr:uid="{106F6611-1E3E-4B9A-9437-E10D375B650B}"/>
    <hyperlink ref="F154" r:id="rId69" display="Footrest height" xr:uid="{179DC75B-0F5A-4B9A-9363-C48203523136}"/>
    <hyperlink ref="F154:G154" r:id="rId70" display="Rear axle adjustment" xr:uid="{510253CA-DFC7-4FC4-84AD-3D91F6274855}"/>
    <hyperlink ref="B160" r:id="rId71" display="Footrest height" xr:uid="{BBEC8B93-F9ED-468B-96ED-D15FD0102B02}"/>
    <hyperlink ref="D160" r:id="rId72" display=" - Foot plates" xr:uid="{B6842524-092C-43BD-953C-48211EED18DB}"/>
    <hyperlink ref="I1" location="'S3 Swing models'!A196" display="'S3 Swing models'!A196" xr:uid="{BB236A21-44A3-49DE-8A9D-A3B2C124114E}"/>
    <hyperlink ref="E28" r:id="rId73" display="https://www.panthera.se/webpages/chassi_colour_all.html" xr:uid="{D0E95ECF-833F-4184-93EE-CE23BD04C27B}"/>
    <hyperlink ref="C93" r:id="rId74" display="PU däck" xr:uid="{A60D8990-14DF-4512-B7AA-97E12BF18267}"/>
    <hyperlink ref="C92" r:id="rId75" display="Grovmönstrat" xr:uid="{918E6A6E-DDCE-4A57-B629-865FC83C0ECF}"/>
    <hyperlink ref="C91" r:id="rId76" display="Marathon Plus" xr:uid="{9AB01504-EA2A-490E-8670-0A5EF100D876}"/>
    <hyperlink ref="B3" location="'S3 Swing models'!A4" display="'S3 Swing models'!A4" xr:uid="{DB76AC9D-A7C6-4C2E-9BB7-37AA4A7FD596}"/>
  </hyperlinks>
  <pageMargins left="0.25" right="0.25" top="0.75" bottom="0.75" header="0.3" footer="0.3"/>
  <pageSetup paperSize="9" orientation="portrait" horizontalDpi="4294967295" verticalDpi="4294967295" r:id="rId77"/>
  <ignoredErrors>
    <ignoredError sqref="D213" unlockedFormula="1"/>
  </ignoredErrors>
  <drawing r:id="rId78"/>
  <legacyDrawing r:id="rId79"/>
  <mc:AlternateContent xmlns:mc="http://schemas.openxmlformats.org/markup-compatibility/2006">
    <mc:Choice Requires="x14">
      <controls>
        <mc:AlternateContent xmlns:mc="http://schemas.openxmlformats.org/markup-compatibility/2006">
          <mc:Choice Requires="x14">
            <control shapeId="10241" r:id="rId80" name="Option Button 1">
              <controlPr defaultSize="0" autoFill="0" autoLine="0" autoPict="0">
                <anchor moveWithCells="1">
                  <from>
                    <xdr:col>7</xdr:col>
                    <xdr:colOff>200025</xdr:colOff>
                    <xdr:row>46</xdr:row>
                    <xdr:rowOff>171450</xdr:rowOff>
                  </from>
                  <to>
                    <xdr:col>7</xdr:col>
                    <xdr:colOff>447675</xdr:colOff>
                    <xdr:row>48</xdr:row>
                    <xdr:rowOff>9525</xdr:rowOff>
                  </to>
                </anchor>
              </controlPr>
            </control>
          </mc:Choice>
        </mc:AlternateContent>
        <mc:AlternateContent xmlns:mc="http://schemas.openxmlformats.org/markup-compatibility/2006">
          <mc:Choice Requires="x14">
            <control shapeId="10244" r:id="rId81" name="Option Button 4">
              <controlPr defaultSize="0" autoFill="0" autoLine="0" autoPict="0">
                <anchor moveWithCells="1">
                  <from>
                    <xdr:col>3</xdr:col>
                    <xdr:colOff>552450</xdr:colOff>
                    <xdr:row>33</xdr:row>
                    <xdr:rowOff>180975</xdr:rowOff>
                  </from>
                  <to>
                    <xdr:col>4</xdr:col>
                    <xdr:colOff>95250</xdr:colOff>
                    <xdr:row>35</xdr:row>
                    <xdr:rowOff>9525</xdr:rowOff>
                  </to>
                </anchor>
              </controlPr>
            </control>
          </mc:Choice>
        </mc:AlternateContent>
        <mc:AlternateContent xmlns:mc="http://schemas.openxmlformats.org/markup-compatibility/2006">
          <mc:Choice Requires="x14">
            <control shapeId="10245" r:id="rId82" name="Option Button 5">
              <controlPr defaultSize="0" autoFill="0" autoLine="0" autoPict="0">
                <anchor moveWithCells="1">
                  <from>
                    <xdr:col>4</xdr:col>
                    <xdr:colOff>542925</xdr:colOff>
                    <xdr:row>34</xdr:row>
                    <xdr:rowOff>0</xdr:rowOff>
                  </from>
                  <to>
                    <xdr:col>5</xdr:col>
                    <xdr:colOff>95250</xdr:colOff>
                    <xdr:row>35</xdr:row>
                    <xdr:rowOff>19050</xdr:rowOff>
                  </to>
                </anchor>
              </controlPr>
            </control>
          </mc:Choice>
        </mc:AlternateContent>
        <mc:AlternateContent xmlns:mc="http://schemas.openxmlformats.org/markup-compatibility/2006">
          <mc:Choice Requires="x14">
            <control shapeId="10246" r:id="rId83" name="Option Button 6">
              <controlPr defaultSize="0" autoFill="0" autoLine="0" autoPict="0">
                <anchor moveWithCells="1">
                  <from>
                    <xdr:col>6</xdr:col>
                    <xdr:colOff>561975</xdr:colOff>
                    <xdr:row>34</xdr:row>
                    <xdr:rowOff>0</xdr:rowOff>
                  </from>
                  <to>
                    <xdr:col>7</xdr:col>
                    <xdr:colOff>114300</xdr:colOff>
                    <xdr:row>35</xdr:row>
                    <xdr:rowOff>28575</xdr:rowOff>
                  </to>
                </anchor>
              </controlPr>
            </control>
          </mc:Choice>
        </mc:AlternateContent>
        <mc:AlternateContent xmlns:mc="http://schemas.openxmlformats.org/markup-compatibility/2006">
          <mc:Choice Requires="x14">
            <control shapeId="10247" r:id="rId84" name="Option Button 7">
              <controlPr defaultSize="0" autoFill="0" autoLine="0" autoPict="0">
                <anchor moveWithCells="1">
                  <from>
                    <xdr:col>3</xdr:col>
                    <xdr:colOff>609600</xdr:colOff>
                    <xdr:row>44</xdr:row>
                    <xdr:rowOff>161925</xdr:rowOff>
                  </from>
                  <to>
                    <xdr:col>4</xdr:col>
                    <xdr:colOff>200025</xdr:colOff>
                    <xdr:row>46</xdr:row>
                    <xdr:rowOff>9525</xdr:rowOff>
                  </to>
                </anchor>
              </controlPr>
            </control>
          </mc:Choice>
        </mc:AlternateContent>
        <mc:AlternateContent xmlns:mc="http://schemas.openxmlformats.org/markup-compatibility/2006">
          <mc:Choice Requires="x14">
            <control shapeId="10248" r:id="rId85" name="Option Button 8">
              <controlPr defaultSize="0" autoFill="0" autoLine="0" autoPict="0">
                <anchor moveWithCells="1">
                  <from>
                    <xdr:col>3</xdr:col>
                    <xdr:colOff>609600</xdr:colOff>
                    <xdr:row>45</xdr:row>
                    <xdr:rowOff>171450</xdr:rowOff>
                  </from>
                  <to>
                    <xdr:col>4</xdr:col>
                    <xdr:colOff>200025</xdr:colOff>
                    <xdr:row>47</xdr:row>
                    <xdr:rowOff>9525</xdr:rowOff>
                  </to>
                </anchor>
              </controlPr>
            </control>
          </mc:Choice>
        </mc:AlternateContent>
        <mc:AlternateContent xmlns:mc="http://schemas.openxmlformats.org/markup-compatibility/2006">
          <mc:Choice Requires="x14">
            <control shapeId="10249" r:id="rId86" name="Option Button 9">
              <controlPr defaultSize="0" autoFill="0" autoLine="0" autoPict="0" altText="">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50" r:id="rId87" name="Option Button 10">
              <controlPr defaultSize="0" autoFill="0" autoLine="0" autoPict="0">
                <anchor moveWithCells="1">
                  <from>
                    <xdr:col>0</xdr:col>
                    <xdr:colOff>590550</xdr:colOff>
                    <xdr:row>27</xdr:row>
                    <xdr:rowOff>9525</xdr:rowOff>
                  </from>
                  <to>
                    <xdr:col>0</xdr:col>
                    <xdr:colOff>819150</xdr:colOff>
                    <xdr:row>28</xdr:row>
                    <xdr:rowOff>19050</xdr:rowOff>
                  </to>
                </anchor>
              </controlPr>
            </control>
          </mc:Choice>
        </mc:AlternateContent>
        <mc:AlternateContent xmlns:mc="http://schemas.openxmlformats.org/markup-compatibility/2006">
          <mc:Choice Requires="x14">
            <control shapeId="10251" r:id="rId88" name="Option Button 11">
              <controlPr defaultSize="0" autoFill="0" autoLine="0" autoPict="0">
                <anchor moveWithCells="1">
                  <from>
                    <xdr:col>0</xdr:col>
                    <xdr:colOff>590550</xdr:colOff>
                    <xdr:row>28</xdr:row>
                    <xdr:rowOff>9525</xdr:rowOff>
                  </from>
                  <to>
                    <xdr:col>0</xdr:col>
                    <xdr:colOff>819150</xdr:colOff>
                    <xdr:row>29</xdr:row>
                    <xdr:rowOff>38100</xdr:rowOff>
                  </to>
                </anchor>
              </controlPr>
            </control>
          </mc:Choice>
        </mc:AlternateContent>
        <mc:AlternateContent xmlns:mc="http://schemas.openxmlformats.org/markup-compatibility/2006">
          <mc:Choice Requires="x14">
            <control shapeId="10252" r:id="rId89" name="Option Button 12">
              <controlPr defaultSize="0" autoFill="0" autoLine="0" autoPict="0">
                <anchor moveWithCells="1">
                  <from>
                    <xdr:col>0</xdr:col>
                    <xdr:colOff>590550</xdr:colOff>
                    <xdr:row>29</xdr:row>
                    <xdr:rowOff>180975</xdr:rowOff>
                  </from>
                  <to>
                    <xdr:col>0</xdr:col>
                    <xdr:colOff>819150</xdr:colOff>
                    <xdr:row>31</xdr:row>
                    <xdr:rowOff>19050</xdr:rowOff>
                  </to>
                </anchor>
              </controlPr>
            </control>
          </mc:Choice>
        </mc:AlternateContent>
        <mc:AlternateContent xmlns:mc="http://schemas.openxmlformats.org/markup-compatibility/2006">
          <mc:Choice Requires="x14">
            <control shapeId="10253" r:id="rId90" name="Option Button 13">
              <controlPr defaultSize="0" autoFill="0" autoLine="0" autoPict="0">
                <anchor moveWithCells="1">
                  <from>
                    <xdr:col>3</xdr:col>
                    <xdr:colOff>609600</xdr:colOff>
                    <xdr:row>27</xdr:row>
                    <xdr:rowOff>0</xdr:rowOff>
                  </from>
                  <to>
                    <xdr:col>4</xdr:col>
                    <xdr:colOff>190500</xdr:colOff>
                    <xdr:row>28</xdr:row>
                    <xdr:rowOff>28575</xdr:rowOff>
                  </to>
                </anchor>
              </controlPr>
            </control>
          </mc:Choice>
        </mc:AlternateContent>
        <mc:AlternateContent xmlns:mc="http://schemas.openxmlformats.org/markup-compatibility/2006">
          <mc:Choice Requires="x14">
            <control shapeId="10254" r:id="rId91" name="Option Button 1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55" r:id="rId92" name="Group Box 15">
              <controlPr defaultSize="0" autoFill="0" autoPict="0">
                <anchor moveWithCells="1">
                  <from>
                    <xdr:col>0</xdr:col>
                    <xdr:colOff>485775</xdr:colOff>
                    <xdr:row>44</xdr:row>
                    <xdr:rowOff>142875</xdr:rowOff>
                  </from>
                  <to>
                    <xdr:col>10</xdr:col>
                    <xdr:colOff>19050</xdr:colOff>
                    <xdr:row>49</xdr:row>
                    <xdr:rowOff>114300</xdr:rowOff>
                  </to>
                </anchor>
              </controlPr>
            </control>
          </mc:Choice>
        </mc:AlternateContent>
        <mc:AlternateContent xmlns:mc="http://schemas.openxmlformats.org/markup-compatibility/2006">
          <mc:Choice Requires="x14">
            <control shapeId="10256" r:id="rId93" name="Group Box 16">
              <controlPr defaultSize="0" autoFill="0" autoPict="0">
                <anchor moveWithCells="1">
                  <from>
                    <xdr:col>0</xdr:col>
                    <xdr:colOff>361950</xdr:colOff>
                    <xdr:row>52</xdr:row>
                    <xdr:rowOff>76200</xdr:rowOff>
                  </from>
                  <to>
                    <xdr:col>9</xdr:col>
                    <xdr:colOff>561975</xdr:colOff>
                    <xdr:row>54</xdr:row>
                    <xdr:rowOff>95250</xdr:rowOff>
                  </to>
                </anchor>
              </controlPr>
            </control>
          </mc:Choice>
        </mc:AlternateContent>
        <mc:AlternateContent xmlns:mc="http://schemas.openxmlformats.org/markup-compatibility/2006">
          <mc:Choice Requires="x14">
            <control shapeId="10257" r:id="rId94" name="Option Button 1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58" r:id="rId95" name="Option Button 18">
              <controlPr defaultSize="0" autoFill="0" autoLine="0" autoPict="0">
                <anchor moveWithCells="1">
                  <from>
                    <xdr:col>1</xdr:col>
                    <xdr:colOff>257175</xdr:colOff>
                    <xdr:row>52</xdr:row>
                    <xdr:rowOff>180975</xdr:rowOff>
                  </from>
                  <to>
                    <xdr:col>2</xdr:col>
                    <xdr:colOff>47625</xdr:colOff>
                    <xdr:row>54</xdr:row>
                    <xdr:rowOff>19050</xdr:rowOff>
                  </to>
                </anchor>
              </controlPr>
            </control>
          </mc:Choice>
        </mc:AlternateContent>
        <mc:AlternateContent xmlns:mc="http://schemas.openxmlformats.org/markup-compatibility/2006">
          <mc:Choice Requires="x14">
            <control shapeId="10259" r:id="rId96" name="Option Button 19">
              <controlPr defaultSize="0" autoFill="0" autoLine="0" autoPict="0">
                <anchor moveWithCells="1">
                  <from>
                    <xdr:col>2</xdr:col>
                    <xdr:colOff>447675</xdr:colOff>
                    <xdr:row>52</xdr:row>
                    <xdr:rowOff>171450</xdr:rowOff>
                  </from>
                  <to>
                    <xdr:col>3</xdr:col>
                    <xdr:colOff>28575</xdr:colOff>
                    <xdr:row>54</xdr:row>
                    <xdr:rowOff>9525</xdr:rowOff>
                  </to>
                </anchor>
              </controlPr>
            </control>
          </mc:Choice>
        </mc:AlternateContent>
        <mc:AlternateContent xmlns:mc="http://schemas.openxmlformats.org/markup-compatibility/2006">
          <mc:Choice Requires="x14">
            <control shapeId="10260" r:id="rId97" name="Option Button 20">
              <controlPr defaultSize="0" autoFill="0" autoLine="0" autoPict="0">
                <anchor moveWithCells="1">
                  <from>
                    <xdr:col>3</xdr:col>
                    <xdr:colOff>447675</xdr:colOff>
                    <xdr:row>52</xdr:row>
                    <xdr:rowOff>161925</xdr:rowOff>
                  </from>
                  <to>
                    <xdr:col>4</xdr:col>
                    <xdr:colOff>28575</xdr:colOff>
                    <xdr:row>54</xdr:row>
                    <xdr:rowOff>0</xdr:rowOff>
                  </to>
                </anchor>
              </controlPr>
            </control>
          </mc:Choice>
        </mc:AlternateContent>
        <mc:AlternateContent xmlns:mc="http://schemas.openxmlformats.org/markup-compatibility/2006">
          <mc:Choice Requires="x14">
            <control shapeId="10261" r:id="rId98" name="Option Button 21">
              <controlPr defaultSize="0" autoFill="0" autoLine="0" autoPict="0">
                <anchor moveWithCells="1">
                  <from>
                    <xdr:col>4</xdr:col>
                    <xdr:colOff>428625</xdr:colOff>
                    <xdr:row>52</xdr:row>
                    <xdr:rowOff>161925</xdr:rowOff>
                  </from>
                  <to>
                    <xdr:col>5</xdr:col>
                    <xdr:colOff>9525</xdr:colOff>
                    <xdr:row>54</xdr:row>
                    <xdr:rowOff>0</xdr:rowOff>
                  </to>
                </anchor>
              </controlPr>
            </control>
          </mc:Choice>
        </mc:AlternateContent>
        <mc:AlternateContent xmlns:mc="http://schemas.openxmlformats.org/markup-compatibility/2006">
          <mc:Choice Requires="x14">
            <control shapeId="10262" r:id="rId99" name="Option Button 22">
              <controlPr defaultSize="0" autoFill="0" autoLine="0" autoPict="0">
                <anchor moveWithCells="1">
                  <from>
                    <xdr:col>5</xdr:col>
                    <xdr:colOff>428625</xdr:colOff>
                    <xdr:row>52</xdr:row>
                    <xdr:rowOff>171450</xdr:rowOff>
                  </from>
                  <to>
                    <xdr:col>6</xdr:col>
                    <xdr:colOff>9525</xdr:colOff>
                    <xdr:row>54</xdr:row>
                    <xdr:rowOff>9525</xdr:rowOff>
                  </to>
                </anchor>
              </controlPr>
            </control>
          </mc:Choice>
        </mc:AlternateContent>
        <mc:AlternateContent xmlns:mc="http://schemas.openxmlformats.org/markup-compatibility/2006">
          <mc:Choice Requires="x14">
            <control shapeId="10263" r:id="rId100" name="Option Button 23">
              <controlPr defaultSize="0" autoFill="0" autoLine="0" autoPict="0">
                <anchor moveWithCells="1">
                  <from>
                    <xdr:col>6</xdr:col>
                    <xdr:colOff>409575</xdr:colOff>
                    <xdr:row>52</xdr:row>
                    <xdr:rowOff>171450</xdr:rowOff>
                  </from>
                  <to>
                    <xdr:col>6</xdr:col>
                    <xdr:colOff>638175</xdr:colOff>
                    <xdr:row>54</xdr:row>
                    <xdr:rowOff>9525</xdr:rowOff>
                  </to>
                </anchor>
              </controlPr>
            </control>
          </mc:Choice>
        </mc:AlternateContent>
        <mc:AlternateContent xmlns:mc="http://schemas.openxmlformats.org/markup-compatibility/2006">
          <mc:Choice Requires="x14">
            <control shapeId="10264" r:id="rId101" name="Group Box 24">
              <controlPr defaultSize="0" autoFill="0" autoPict="0">
                <anchor moveWithCells="1">
                  <from>
                    <xdr:col>0</xdr:col>
                    <xdr:colOff>304800</xdr:colOff>
                    <xdr:row>59</xdr:row>
                    <xdr:rowOff>47625</xdr:rowOff>
                  </from>
                  <to>
                    <xdr:col>9</xdr:col>
                    <xdr:colOff>581025</xdr:colOff>
                    <xdr:row>64</xdr:row>
                    <xdr:rowOff>57150</xdr:rowOff>
                  </to>
                </anchor>
              </controlPr>
            </control>
          </mc:Choice>
        </mc:AlternateContent>
        <mc:AlternateContent xmlns:mc="http://schemas.openxmlformats.org/markup-compatibility/2006">
          <mc:Choice Requires="x14">
            <control shapeId="10265" r:id="rId102" name="Option Button 2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66" r:id="rId103" name="Option Button 26">
              <controlPr defaultSize="0" autoFill="0" autoLine="0" autoPict="0">
                <anchor moveWithCells="1">
                  <from>
                    <xdr:col>3</xdr:col>
                    <xdr:colOff>561975</xdr:colOff>
                    <xdr:row>59</xdr:row>
                    <xdr:rowOff>171450</xdr:rowOff>
                  </from>
                  <to>
                    <xdr:col>4</xdr:col>
                    <xdr:colOff>161925</xdr:colOff>
                    <xdr:row>61</xdr:row>
                    <xdr:rowOff>9525</xdr:rowOff>
                  </to>
                </anchor>
              </controlPr>
            </control>
          </mc:Choice>
        </mc:AlternateContent>
        <mc:AlternateContent xmlns:mc="http://schemas.openxmlformats.org/markup-compatibility/2006">
          <mc:Choice Requires="x14">
            <control shapeId="10267" r:id="rId104" name="Option Button 27">
              <controlPr defaultSize="0" autoFill="0" autoLine="0" autoPict="0">
                <anchor moveWithCells="1">
                  <from>
                    <xdr:col>7</xdr:col>
                    <xdr:colOff>247650</xdr:colOff>
                    <xdr:row>60</xdr:row>
                    <xdr:rowOff>0</xdr:rowOff>
                  </from>
                  <to>
                    <xdr:col>7</xdr:col>
                    <xdr:colOff>495300</xdr:colOff>
                    <xdr:row>61</xdr:row>
                    <xdr:rowOff>28575</xdr:rowOff>
                  </to>
                </anchor>
              </controlPr>
            </control>
          </mc:Choice>
        </mc:AlternateContent>
        <mc:AlternateContent xmlns:mc="http://schemas.openxmlformats.org/markup-compatibility/2006">
          <mc:Choice Requires="x14">
            <control shapeId="10268" r:id="rId105" name="Group Box 28">
              <controlPr defaultSize="0" autoFill="0" autoPict="0">
                <anchor moveWithCells="1">
                  <from>
                    <xdr:col>0</xdr:col>
                    <xdr:colOff>323850</xdr:colOff>
                    <xdr:row>71</xdr:row>
                    <xdr:rowOff>85725</xdr:rowOff>
                  </from>
                  <to>
                    <xdr:col>10</xdr:col>
                    <xdr:colOff>38100</xdr:colOff>
                    <xdr:row>80</xdr:row>
                    <xdr:rowOff>19050</xdr:rowOff>
                  </to>
                </anchor>
              </controlPr>
            </control>
          </mc:Choice>
        </mc:AlternateContent>
        <mc:AlternateContent xmlns:mc="http://schemas.openxmlformats.org/markup-compatibility/2006">
          <mc:Choice Requires="x14">
            <control shapeId="10269" r:id="rId106" name="Option Button 2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70" r:id="rId107" name="Option Button 30">
              <controlPr defaultSize="0" autoFill="0" autoLine="0" autoPict="0">
                <anchor moveWithCells="1">
                  <from>
                    <xdr:col>0</xdr:col>
                    <xdr:colOff>561975</xdr:colOff>
                    <xdr:row>71</xdr:row>
                    <xdr:rowOff>190500</xdr:rowOff>
                  </from>
                  <to>
                    <xdr:col>0</xdr:col>
                    <xdr:colOff>790575</xdr:colOff>
                    <xdr:row>73</xdr:row>
                    <xdr:rowOff>47625</xdr:rowOff>
                  </to>
                </anchor>
              </controlPr>
            </control>
          </mc:Choice>
        </mc:AlternateContent>
        <mc:AlternateContent xmlns:mc="http://schemas.openxmlformats.org/markup-compatibility/2006">
          <mc:Choice Requires="x14">
            <control shapeId="10271" r:id="rId108" name="Option Button 31">
              <controlPr defaultSize="0" autoFill="0" autoLine="0" autoPict="0">
                <anchor moveWithCells="1">
                  <from>
                    <xdr:col>3</xdr:col>
                    <xdr:colOff>628650</xdr:colOff>
                    <xdr:row>72</xdr:row>
                    <xdr:rowOff>9525</xdr:rowOff>
                  </from>
                  <to>
                    <xdr:col>4</xdr:col>
                    <xdr:colOff>209550</xdr:colOff>
                    <xdr:row>73</xdr:row>
                    <xdr:rowOff>38100</xdr:rowOff>
                  </to>
                </anchor>
              </controlPr>
            </control>
          </mc:Choice>
        </mc:AlternateContent>
        <mc:AlternateContent xmlns:mc="http://schemas.openxmlformats.org/markup-compatibility/2006">
          <mc:Choice Requires="x14">
            <control shapeId="10272" r:id="rId109" name="Option Button 3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73" r:id="rId110" name="Option Button 3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74" r:id="rId111" name="Option Button 34">
              <controlPr defaultSize="0" autoFill="0" autoLine="0" autoPict="0">
                <anchor moveWithCells="1">
                  <from>
                    <xdr:col>7</xdr:col>
                    <xdr:colOff>285750</xdr:colOff>
                    <xdr:row>71</xdr:row>
                    <xdr:rowOff>180975</xdr:rowOff>
                  </from>
                  <to>
                    <xdr:col>7</xdr:col>
                    <xdr:colOff>514350</xdr:colOff>
                    <xdr:row>73</xdr:row>
                    <xdr:rowOff>19050</xdr:rowOff>
                  </to>
                </anchor>
              </controlPr>
            </control>
          </mc:Choice>
        </mc:AlternateContent>
        <mc:AlternateContent xmlns:mc="http://schemas.openxmlformats.org/markup-compatibility/2006">
          <mc:Choice Requires="x14">
            <control shapeId="10275" r:id="rId112" name="Option Button 3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76" r:id="rId113" name="Check Box 36">
              <controlPr defaultSize="0" autoFill="0" autoLine="0" autoPict="0">
                <anchor moveWithCells="1">
                  <from>
                    <xdr:col>4</xdr:col>
                    <xdr:colOff>0</xdr:colOff>
                    <xdr:row>76</xdr:row>
                    <xdr:rowOff>0</xdr:rowOff>
                  </from>
                  <to>
                    <xdr:col>4</xdr:col>
                    <xdr:colOff>209550</xdr:colOff>
                    <xdr:row>77</xdr:row>
                    <xdr:rowOff>28575</xdr:rowOff>
                  </to>
                </anchor>
              </controlPr>
            </control>
          </mc:Choice>
        </mc:AlternateContent>
        <mc:AlternateContent xmlns:mc="http://schemas.openxmlformats.org/markup-compatibility/2006">
          <mc:Choice Requires="x14">
            <control shapeId="10278" r:id="rId114" name="Group Box 38">
              <controlPr defaultSize="0" autoFill="0" autoPict="0">
                <anchor moveWithCells="1">
                  <from>
                    <xdr:col>0</xdr:col>
                    <xdr:colOff>314325</xdr:colOff>
                    <xdr:row>81</xdr:row>
                    <xdr:rowOff>85725</xdr:rowOff>
                  </from>
                  <to>
                    <xdr:col>10</xdr:col>
                    <xdr:colOff>114300</xdr:colOff>
                    <xdr:row>87</xdr:row>
                    <xdr:rowOff>57150</xdr:rowOff>
                  </to>
                </anchor>
              </controlPr>
            </control>
          </mc:Choice>
        </mc:AlternateContent>
        <mc:AlternateContent xmlns:mc="http://schemas.openxmlformats.org/markup-compatibility/2006">
          <mc:Choice Requires="x14">
            <control shapeId="10280" r:id="rId115" name="Option Button 4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81" r:id="rId116" name="Option Button 41">
              <controlPr defaultSize="0" autoFill="0" autoLine="0" autoPict="0">
                <anchor moveWithCells="1">
                  <from>
                    <xdr:col>7</xdr:col>
                    <xdr:colOff>304800</xdr:colOff>
                    <xdr:row>81</xdr:row>
                    <xdr:rowOff>180975</xdr:rowOff>
                  </from>
                  <to>
                    <xdr:col>7</xdr:col>
                    <xdr:colOff>523875</xdr:colOff>
                    <xdr:row>83</xdr:row>
                    <xdr:rowOff>47625</xdr:rowOff>
                  </to>
                </anchor>
              </controlPr>
            </control>
          </mc:Choice>
        </mc:AlternateContent>
        <mc:AlternateContent xmlns:mc="http://schemas.openxmlformats.org/markup-compatibility/2006">
          <mc:Choice Requires="x14">
            <control shapeId="10282" r:id="rId117" name="Option Button 42">
              <controlPr defaultSize="0" autoFill="0" autoLine="0" autoPict="0">
                <anchor moveWithCells="1">
                  <from>
                    <xdr:col>3</xdr:col>
                    <xdr:colOff>628650</xdr:colOff>
                    <xdr:row>89</xdr:row>
                    <xdr:rowOff>171450</xdr:rowOff>
                  </from>
                  <to>
                    <xdr:col>4</xdr:col>
                    <xdr:colOff>180975</xdr:colOff>
                    <xdr:row>91</xdr:row>
                    <xdr:rowOff>9525</xdr:rowOff>
                  </to>
                </anchor>
              </controlPr>
            </control>
          </mc:Choice>
        </mc:AlternateContent>
        <mc:AlternateContent xmlns:mc="http://schemas.openxmlformats.org/markup-compatibility/2006">
          <mc:Choice Requires="x14">
            <control shapeId="10283" r:id="rId118" name="Option Button 43">
              <controlPr defaultSize="0" autoFill="0" autoLine="0" autoPict="0">
                <anchor moveWithCells="1">
                  <from>
                    <xdr:col>7</xdr:col>
                    <xdr:colOff>342900</xdr:colOff>
                    <xdr:row>89</xdr:row>
                    <xdr:rowOff>9525</xdr:rowOff>
                  </from>
                  <to>
                    <xdr:col>7</xdr:col>
                    <xdr:colOff>542925</xdr:colOff>
                    <xdr:row>90</xdr:row>
                    <xdr:rowOff>38100</xdr:rowOff>
                  </to>
                </anchor>
              </controlPr>
            </control>
          </mc:Choice>
        </mc:AlternateContent>
        <mc:AlternateContent xmlns:mc="http://schemas.openxmlformats.org/markup-compatibility/2006">
          <mc:Choice Requires="x14">
            <control shapeId="10284" r:id="rId119" name="Option Button 44">
              <controlPr defaultSize="0" autoFill="0" autoLine="0" autoPict="0">
                <anchor moveWithCells="1">
                  <from>
                    <xdr:col>3</xdr:col>
                    <xdr:colOff>628650</xdr:colOff>
                    <xdr:row>88</xdr:row>
                    <xdr:rowOff>180975</xdr:rowOff>
                  </from>
                  <to>
                    <xdr:col>4</xdr:col>
                    <xdr:colOff>180975</xdr:colOff>
                    <xdr:row>90</xdr:row>
                    <xdr:rowOff>0</xdr:rowOff>
                  </to>
                </anchor>
              </controlPr>
            </control>
          </mc:Choice>
        </mc:AlternateContent>
        <mc:AlternateContent xmlns:mc="http://schemas.openxmlformats.org/markup-compatibility/2006">
          <mc:Choice Requires="x14">
            <control shapeId="10285" r:id="rId120" name="Option Button 4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86" r:id="rId121" name="Group Box 46">
              <controlPr defaultSize="0" autoFill="0" autoPict="0">
                <anchor moveWithCells="1">
                  <from>
                    <xdr:col>0</xdr:col>
                    <xdr:colOff>266700</xdr:colOff>
                    <xdr:row>113</xdr:row>
                    <xdr:rowOff>95250</xdr:rowOff>
                  </from>
                  <to>
                    <xdr:col>10</xdr:col>
                    <xdr:colOff>104775</xdr:colOff>
                    <xdr:row>119</xdr:row>
                    <xdr:rowOff>95250</xdr:rowOff>
                  </to>
                </anchor>
              </controlPr>
            </control>
          </mc:Choice>
        </mc:AlternateContent>
        <mc:AlternateContent xmlns:mc="http://schemas.openxmlformats.org/markup-compatibility/2006">
          <mc:Choice Requires="x14">
            <control shapeId="10287" r:id="rId122" name="Option Button 4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88" r:id="rId123" name="Option Button 48">
              <controlPr defaultSize="0" autoFill="0" autoLine="0" autoPict="0">
                <anchor moveWithCells="1">
                  <from>
                    <xdr:col>4</xdr:col>
                    <xdr:colOff>371475</xdr:colOff>
                    <xdr:row>113</xdr:row>
                    <xdr:rowOff>200025</xdr:rowOff>
                  </from>
                  <to>
                    <xdr:col>4</xdr:col>
                    <xdr:colOff>600075</xdr:colOff>
                    <xdr:row>115</xdr:row>
                    <xdr:rowOff>28575</xdr:rowOff>
                  </to>
                </anchor>
              </controlPr>
            </control>
          </mc:Choice>
        </mc:AlternateContent>
        <mc:AlternateContent xmlns:mc="http://schemas.openxmlformats.org/markup-compatibility/2006">
          <mc:Choice Requires="x14">
            <control shapeId="10289" r:id="rId124" name="Option Button 49">
              <controlPr defaultSize="0" autoFill="0" autoLine="0" autoPict="0">
                <anchor moveWithCells="1">
                  <from>
                    <xdr:col>8</xdr:col>
                    <xdr:colOff>28575</xdr:colOff>
                    <xdr:row>113</xdr:row>
                    <xdr:rowOff>190500</xdr:rowOff>
                  </from>
                  <to>
                    <xdr:col>8</xdr:col>
                    <xdr:colOff>257175</xdr:colOff>
                    <xdr:row>115</xdr:row>
                    <xdr:rowOff>28575</xdr:rowOff>
                  </to>
                </anchor>
              </controlPr>
            </control>
          </mc:Choice>
        </mc:AlternateContent>
        <mc:AlternateContent xmlns:mc="http://schemas.openxmlformats.org/markup-compatibility/2006">
          <mc:Choice Requires="x14">
            <control shapeId="10290" r:id="rId125" name="Option Button 5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91" r:id="rId126" name="Group Box 51">
              <controlPr defaultSize="0" autoFill="0" autoPict="0">
                <anchor moveWithCells="1">
                  <from>
                    <xdr:col>0</xdr:col>
                    <xdr:colOff>209550</xdr:colOff>
                    <xdr:row>120</xdr:row>
                    <xdr:rowOff>9525</xdr:rowOff>
                  </from>
                  <to>
                    <xdr:col>10</xdr:col>
                    <xdr:colOff>133350</xdr:colOff>
                    <xdr:row>127</xdr:row>
                    <xdr:rowOff>133350</xdr:rowOff>
                  </to>
                </anchor>
              </controlPr>
            </control>
          </mc:Choice>
        </mc:AlternateContent>
        <mc:AlternateContent xmlns:mc="http://schemas.openxmlformats.org/markup-compatibility/2006">
          <mc:Choice Requires="x14">
            <control shapeId="10292" r:id="rId127" name="Option Button 5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93" r:id="rId128" name="Option Button 5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94" r:id="rId129" name="Option Button 5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95" r:id="rId130" name="Option Button 55">
              <controlPr defaultSize="0" autoFill="0" autoLine="0" autoPict="0">
                <anchor moveWithCells="1">
                  <from>
                    <xdr:col>4</xdr:col>
                    <xdr:colOff>381000</xdr:colOff>
                    <xdr:row>121</xdr:row>
                    <xdr:rowOff>28575</xdr:rowOff>
                  </from>
                  <to>
                    <xdr:col>4</xdr:col>
                    <xdr:colOff>590550</xdr:colOff>
                    <xdr:row>122</xdr:row>
                    <xdr:rowOff>57150</xdr:rowOff>
                  </to>
                </anchor>
              </controlPr>
            </control>
          </mc:Choice>
        </mc:AlternateContent>
        <mc:AlternateContent xmlns:mc="http://schemas.openxmlformats.org/markup-compatibility/2006">
          <mc:Choice Requires="x14">
            <control shapeId="10296" r:id="rId131" name="Option Button 56">
              <controlPr defaultSize="0" autoFill="0" autoLine="0" autoPict="0">
                <anchor moveWithCells="1">
                  <from>
                    <xdr:col>8</xdr:col>
                    <xdr:colOff>66675</xdr:colOff>
                    <xdr:row>121</xdr:row>
                    <xdr:rowOff>9525</xdr:rowOff>
                  </from>
                  <to>
                    <xdr:col>8</xdr:col>
                    <xdr:colOff>276225</xdr:colOff>
                    <xdr:row>122</xdr:row>
                    <xdr:rowOff>38100</xdr:rowOff>
                  </to>
                </anchor>
              </controlPr>
            </control>
          </mc:Choice>
        </mc:AlternateContent>
        <mc:AlternateContent xmlns:mc="http://schemas.openxmlformats.org/markup-compatibility/2006">
          <mc:Choice Requires="x14">
            <control shapeId="10297" r:id="rId132" name="Group Box 57">
              <controlPr defaultSize="0" autoFill="0" autoPict="0">
                <anchor moveWithCells="1">
                  <from>
                    <xdr:col>0</xdr:col>
                    <xdr:colOff>352425</xdr:colOff>
                    <xdr:row>129</xdr:row>
                    <xdr:rowOff>152400</xdr:rowOff>
                  </from>
                  <to>
                    <xdr:col>3</xdr:col>
                    <xdr:colOff>352425</xdr:colOff>
                    <xdr:row>137</xdr:row>
                    <xdr:rowOff>38100</xdr:rowOff>
                  </to>
                </anchor>
              </controlPr>
            </control>
          </mc:Choice>
        </mc:AlternateContent>
        <mc:AlternateContent xmlns:mc="http://schemas.openxmlformats.org/markup-compatibility/2006">
          <mc:Choice Requires="x14">
            <control shapeId="10298" r:id="rId133" name="Check Box 58">
              <controlPr defaultSize="0" autoFill="0" autoLine="0" autoPict="0">
                <anchor moveWithCells="1">
                  <from>
                    <xdr:col>0</xdr:col>
                    <xdr:colOff>600075</xdr:colOff>
                    <xdr:row>130</xdr:row>
                    <xdr:rowOff>9525</xdr:rowOff>
                  </from>
                  <to>
                    <xdr:col>0</xdr:col>
                    <xdr:colOff>800100</xdr:colOff>
                    <xdr:row>131</xdr:row>
                    <xdr:rowOff>38100</xdr:rowOff>
                  </to>
                </anchor>
              </controlPr>
            </control>
          </mc:Choice>
        </mc:AlternateContent>
        <mc:AlternateContent xmlns:mc="http://schemas.openxmlformats.org/markup-compatibility/2006">
          <mc:Choice Requires="x14">
            <control shapeId="10299" r:id="rId134" name="Group Box 59">
              <controlPr defaultSize="0" autoFill="0" autoPict="0">
                <anchor moveWithCells="1">
                  <from>
                    <xdr:col>4</xdr:col>
                    <xdr:colOff>447675</xdr:colOff>
                    <xdr:row>129</xdr:row>
                    <xdr:rowOff>133350</xdr:rowOff>
                  </from>
                  <to>
                    <xdr:col>5</xdr:col>
                    <xdr:colOff>504825</xdr:colOff>
                    <xdr:row>136</xdr:row>
                    <xdr:rowOff>152400</xdr:rowOff>
                  </to>
                </anchor>
              </controlPr>
            </control>
          </mc:Choice>
        </mc:AlternateContent>
        <mc:AlternateContent xmlns:mc="http://schemas.openxmlformats.org/markup-compatibility/2006">
          <mc:Choice Requires="x14">
            <control shapeId="10300" r:id="rId135" name="Group Box 60">
              <controlPr defaultSize="0" autoFill="0" autoPict="0">
                <anchor moveWithCells="1">
                  <from>
                    <xdr:col>5</xdr:col>
                    <xdr:colOff>533400</xdr:colOff>
                    <xdr:row>129</xdr:row>
                    <xdr:rowOff>171450</xdr:rowOff>
                  </from>
                  <to>
                    <xdr:col>7</xdr:col>
                    <xdr:colOff>0</xdr:colOff>
                    <xdr:row>136</xdr:row>
                    <xdr:rowOff>171450</xdr:rowOff>
                  </to>
                </anchor>
              </controlPr>
            </control>
          </mc:Choice>
        </mc:AlternateContent>
        <mc:AlternateContent xmlns:mc="http://schemas.openxmlformats.org/markup-compatibility/2006">
          <mc:Choice Requires="x14">
            <control shapeId="10301" r:id="rId136" name="Group Box 61">
              <controlPr defaultSize="0" autoFill="0" autoPict="0">
                <anchor moveWithCells="1">
                  <from>
                    <xdr:col>7</xdr:col>
                    <xdr:colOff>381000</xdr:colOff>
                    <xdr:row>129</xdr:row>
                    <xdr:rowOff>152400</xdr:rowOff>
                  </from>
                  <to>
                    <xdr:col>10</xdr:col>
                    <xdr:colOff>142875</xdr:colOff>
                    <xdr:row>136</xdr:row>
                    <xdr:rowOff>28575</xdr:rowOff>
                  </to>
                </anchor>
              </controlPr>
            </control>
          </mc:Choice>
        </mc:AlternateContent>
        <mc:AlternateContent xmlns:mc="http://schemas.openxmlformats.org/markup-compatibility/2006">
          <mc:Choice Requires="x14">
            <control shapeId="10302" r:id="rId137" name="Option Button 62">
              <controlPr defaultSize="0" autoFill="0" autoLine="0" autoPict="0">
                <anchor moveWithCells="1">
                  <from>
                    <xdr:col>8</xdr:col>
                    <xdr:colOff>66675</xdr:colOff>
                    <xdr:row>130</xdr:row>
                    <xdr:rowOff>180975</xdr:rowOff>
                  </from>
                  <to>
                    <xdr:col>8</xdr:col>
                    <xdr:colOff>266700</xdr:colOff>
                    <xdr:row>132</xdr:row>
                    <xdr:rowOff>19050</xdr:rowOff>
                  </to>
                </anchor>
              </controlPr>
            </control>
          </mc:Choice>
        </mc:AlternateContent>
        <mc:AlternateContent xmlns:mc="http://schemas.openxmlformats.org/markup-compatibility/2006">
          <mc:Choice Requires="x14">
            <control shapeId="10303" r:id="rId138" name="Option Button 63">
              <controlPr defaultSize="0" autoFill="0" autoLine="0" autoPict="0">
                <anchor moveWithCells="1">
                  <from>
                    <xdr:col>8</xdr:col>
                    <xdr:colOff>76200</xdr:colOff>
                    <xdr:row>131</xdr:row>
                    <xdr:rowOff>171450</xdr:rowOff>
                  </from>
                  <to>
                    <xdr:col>8</xdr:col>
                    <xdr:colOff>276225</xdr:colOff>
                    <xdr:row>133</xdr:row>
                    <xdr:rowOff>9525</xdr:rowOff>
                  </to>
                </anchor>
              </controlPr>
            </control>
          </mc:Choice>
        </mc:AlternateContent>
        <mc:AlternateContent xmlns:mc="http://schemas.openxmlformats.org/markup-compatibility/2006">
          <mc:Choice Requires="x14">
            <control shapeId="10304" r:id="rId139" name="Check Box 6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05" r:id="rId140" name="Check Box 6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06" r:id="rId141" name="Group Box 66">
              <controlPr defaultSize="0" autoFill="0" autoPict="0">
                <anchor moveWithCells="1">
                  <from>
                    <xdr:col>0</xdr:col>
                    <xdr:colOff>238125</xdr:colOff>
                    <xdr:row>103</xdr:row>
                    <xdr:rowOff>76200</xdr:rowOff>
                  </from>
                  <to>
                    <xdr:col>10</xdr:col>
                    <xdr:colOff>447675</xdr:colOff>
                    <xdr:row>109</xdr:row>
                    <xdr:rowOff>104775</xdr:rowOff>
                  </to>
                </anchor>
              </controlPr>
            </control>
          </mc:Choice>
        </mc:AlternateContent>
        <mc:AlternateContent xmlns:mc="http://schemas.openxmlformats.org/markup-compatibility/2006">
          <mc:Choice Requires="x14">
            <control shapeId="10307" r:id="rId142" name="Option Button 6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08" r:id="rId143" name="Option Button 68">
              <controlPr defaultSize="0" autoFill="0" autoLine="0" autoPict="0">
                <anchor moveWithCells="1">
                  <from>
                    <xdr:col>3</xdr:col>
                    <xdr:colOff>628650</xdr:colOff>
                    <xdr:row>104</xdr:row>
                    <xdr:rowOff>0</xdr:rowOff>
                  </from>
                  <to>
                    <xdr:col>4</xdr:col>
                    <xdr:colOff>180975</xdr:colOff>
                    <xdr:row>105</xdr:row>
                    <xdr:rowOff>28575</xdr:rowOff>
                  </to>
                </anchor>
              </controlPr>
            </control>
          </mc:Choice>
        </mc:AlternateContent>
        <mc:AlternateContent xmlns:mc="http://schemas.openxmlformats.org/markup-compatibility/2006">
          <mc:Choice Requires="x14">
            <control shapeId="10309" r:id="rId144" name="Option Button 69">
              <controlPr defaultSize="0" autoFill="0" autoLine="0" autoPict="0">
                <anchor moveWithCells="1">
                  <from>
                    <xdr:col>3</xdr:col>
                    <xdr:colOff>638175</xdr:colOff>
                    <xdr:row>105</xdr:row>
                    <xdr:rowOff>171450</xdr:rowOff>
                  </from>
                  <to>
                    <xdr:col>4</xdr:col>
                    <xdr:colOff>190500</xdr:colOff>
                    <xdr:row>107</xdr:row>
                    <xdr:rowOff>9525</xdr:rowOff>
                  </to>
                </anchor>
              </controlPr>
            </control>
          </mc:Choice>
        </mc:AlternateContent>
        <mc:AlternateContent xmlns:mc="http://schemas.openxmlformats.org/markup-compatibility/2006">
          <mc:Choice Requires="x14">
            <control shapeId="10310" r:id="rId145" name="Option Button 70">
              <controlPr defaultSize="0" autoFill="0" autoLine="0" autoPict="0">
                <anchor moveWithCells="1">
                  <from>
                    <xdr:col>7</xdr:col>
                    <xdr:colOff>381000</xdr:colOff>
                    <xdr:row>104</xdr:row>
                    <xdr:rowOff>0</xdr:rowOff>
                  </from>
                  <to>
                    <xdr:col>7</xdr:col>
                    <xdr:colOff>581025</xdr:colOff>
                    <xdr:row>105</xdr:row>
                    <xdr:rowOff>28575</xdr:rowOff>
                  </to>
                </anchor>
              </controlPr>
            </control>
          </mc:Choice>
        </mc:AlternateContent>
        <mc:AlternateContent xmlns:mc="http://schemas.openxmlformats.org/markup-compatibility/2006">
          <mc:Choice Requires="x14">
            <control shapeId="10311" r:id="rId146" name="Option Button 71">
              <controlPr defaultSize="0" autoFill="0" autoLine="0" autoPict="0">
                <anchor moveWithCells="1">
                  <from>
                    <xdr:col>7</xdr:col>
                    <xdr:colOff>390525</xdr:colOff>
                    <xdr:row>105</xdr:row>
                    <xdr:rowOff>161925</xdr:rowOff>
                  </from>
                  <to>
                    <xdr:col>7</xdr:col>
                    <xdr:colOff>590550</xdr:colOff>
                    <xdr:row>107</xdr:row>
                    <xdr:rowOff>0</xdr:rowOff>
                  </to>
                </anchor>
              </controlPr>
            </control>
          </mc:Choice>
        </mc:AlternateContent>
        <mc:AlternateContent xmlns:mc="http://schemas.openxmlformats.org/markup-compatibility/2006">
          <mc:Choice Requires="x14">
            <control shapeId="10312" r:id="rId147" name="Check Box 7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13" r:id="rId148" name="Check Box 7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14" r:id="rId149" name="Option Button 74">
              <controlPr defaultSize="0" autoFill="0" autoLine="0" autoPict="0">
                <anchor moveWithCells="1">
                  <from>
                    <xdr:col>7</xdr:col>
                    <xdr:colOff>200025</xdr:colOff>
                    <xdr:row>45</xdr:row>
                    <xdr:rowOff>9525</xdr:rowOff>
                  </from>
                  <to>
                    <xdr:col>7</xdr:col>
                    <xdr:colOff>447675</xdr:colOff>
                    <xdr:row>46</xdr:row>
                    <xdr:rowOff>38100</xdr:rowOff>
                  </to>
                </anchor>
              </controlPr>
            </control>
          </mc:Choice>
        </mc:AlternateContent>
        <mc:AlternateContent xmlns:mc="http://schemas.openxmlformats.org/markup-compatibility/2006">
          <mc:Choice Requires="x14">
            <control shapeId="10316" r:id="rId150" name="Option Button 7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17" r:id="rId151" name="Option Button 77">
              <controlPr defaultSize="0" autoFill="0" autoLine="0" autoPict="0">
                <anchor moveWithCells="1">
                  <from>
                    <xdr:col>7</xdr:col>
                    <xdr:colOff>342900</xdr:colOff>
                    <xdr:row>91</xdr:row>
                    <xdr:rowOff>0</xdr:rowOff>
                  </from>
                  <to>
                    <xdr:col>7</xdr:col>
                    <xdr:colOff>542925</xdr:colOff>
                    <xdr:row>92</xdr:row>
                    <xdr:rowOff>28575</xdr:rowOff>
                  </to>
                </anchor>
              </controlPr>
            </control>
          </mc:Choice>
        </mc:AlternateContent>
        <mc:AlternateContent xmlns:mc="http://schemas.openxmlformats.org/markup-compatibility/2006">
          <mc:Choice Requires="x14">
            <control shapeId="10319" r:id="rId152" name="Option Button 7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20" r:id="rId153" name="Option Button 80">
              <controlPr defaultSize="0" autoFill="0" autoLine="0" autoPict="0">
                <anchor moveWithCells="1">
                  <from>
                    <xdr:col>4</xdr:col>
                    <xdr:colOff>466725</xdr:colOff>
                    <xdr:row>131</xdr:row>
                    <xdr:rowOff>171450</xdr:rowOff>
                  </from>
                  <to>
                    <xdr:col>5</xdr:col>
                    <xdr:colOff>47625</xdr:colOff>
                    <xdr:row>133</xdr:row>
                    <xdr:rowOff>9525</xdr:rowOff>
                  </to>
                </anchor>
              </controlPr>
            </control>
          </mc:Choice>
        </mc:AlternateContent>
        <mc:AlternateContent xmlns:mc="http://schemas.openxmlformats.org/markup-compatibility/2006">
          <mc:Choice Requires="x14">
            <control shapeId="10322" r:id="rId154" name="Option Button 82">
              <controlPr defaultSize="0" autoFill="0" autoLine="0" autoPict="0">
                <anchor moveWithCells="1">
                  <from>
                    <xdr:col>4</xdr:col>
                    <xdr:colOff>466725</xdr:colOff>
                    <xdr:row>131</xdr:row>
                    <xdr:rowOff>0</xdr:rowOff>
                  </from>
                  <to>
                    <xdr:col>5</xdr:col>
                    <xdr:colOff>38100</xdr:colOff>
                    <xdr:row>132</xdr:row>
                    <xdr:rowOff>28575</xdr:rowOff>
                  </to>
                </anchor>
              </controlPr>
            </control>
          </mc:Choice>
        </mc:AlternateContent>
        <mc:AlternateContent xmlns:mc="http://schemas.openxmlformats.org/markup-compatibility/2006">
          <mc:Choice Requires="x14">
            <control shapeId="10323" r:id="rId155" name="Option Button 83">
              <controlPr defaultSize="0" autoFill="0" autoLine="0" autoPict="0">
                <anchor moveWithCells="1">
                  <from>
                    <xdr:col>8</xdr:col>
                    <xdr:colOff>66675</xdr:colOff>
                    <xdr:row>129</xdr:row>
                    <xdr:rowOff>180975</xdr:rowOff>
                  </from>
                  <to>
                    <xdr:col>8</xdr:col>
                    <xdr:colOff>266700</xdr:colOff>
                    <xdr:row>131</xdr:row>
                    <xdr:rowOff>19050</xdr:rowOff>
                  </to>
                </anchor>
              </controlPr>
            </control>
          </mc:Choice>
        </mc:AlternateContent>
        <mc:AlternateContent xmlns:mc="http://schemas.openxmlformats.org/markup-compatibility/2006">
          <mc:Choice Requires="x14">
            <control shapeId="10324" r:id="rId156" name="Group Box 84">
              <controlPr defaultSize="0" autoFill="0" autoPict="0">
                <anchor moveWithCells="1">
                  <from>
                    <xdr:col>0</xdr:col>
                    <xdr:colOff>314325</xdr:colOff>
                    <xdr:row>65</xdr:row>
                    <xdr:rowOff>161925</xdr:rowOff>
                  </from>
                  <to>
                    <xdr:col>9</xdr:col>
                    <xdr:colOff>552450</xdr:colOff>
                    <xdr:row>70</xdr:row>
                    <xdr:rowOff>19050</xdr:rowOff>
                  </to>
                </anchor>
              </controlPr>
            </control>
          </mc:Choice>
        </mc:AlternateContent>
        <mc:AlternateContent xmlns:mc="http://schemas.openxmlformats.org/markup-compatibility/2006">
          <mc:Choice Requires="x14">
            <control shapeId="10325" r:id="rId157" name="Option Button 8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26" r:id="rId158" name="Option Button 86">
              <controlPr defaultSize="0" autoFill="0" autoLine="0" autoPict="0">
                <anchor moveWithCells="1">
                  <from>
                    <xdr:col>0</xdr:col>
                    <xdr:colOff>600075</xdr:colOff>
                    <xdr:row>90</xdr:row>
                    <xdr:rowOff>0</xdr:rowOff>
                  </from>
                  <to>
                    <xdr:col>0</xdr:col>
                    <xdr:colOff>809625</xdr:colOff>
                    <xdr:row>91</xdr:row>
                    <xdr:rowOff>28575</xdr:rowOff>
                  </to>
                </anchor>
              </controlPr>
            </control>
          </mc:Choice>
        </mc:AlternateContent>
        <mc:AlternateContent xmlns:mc="http://schemas.openxmlformats.org/markup-compatibility/2006">
          <mc:Choice Requires="x14">
            <control shapeId="10327" r:id="rId159" name="Option Button 87">
              <controlPr defaultSize="0" autoFill="0" autoLine="0" autoPict="0">
                <anchor moveWithCells="1">
                  <from>
                    <xdr:col>0</xdr:col>
                    <xdr:colOff>600075</xdr:colOff>
                    <xdr:row>90</xdr:row>
                    <xdr:rowOff>180975</xdr:rowOff>
                  </from>
                  <to>
                    <xdr:col>0</xdr:col>
                    <xdr:colOff>809625</xdr:colOff>
                    <xdr:row>92</xdr:row>
                    <xdr:rowOff>19050</xdr:rowOff>
                  </to>
                </anchor>
              </controlPr>
            </control>
          </mc:Choice>
        </mc:AlternateContent>
        <mc:AlternateContent xmlns:mc="http://schemas.openxmlformats.org/markup-compatibility/2006">
          <mc:Choice Requires="x14">
            <control shapeId="10328" r:id="rId160" name="Option Button 88">
              <controlPr defaultSize="0" autoFill="0" autoLine="0" autoPict="0">
                <anchor moveWithCells="1">
                  <from>
                    <xdr:col>0</xdr:col>
                    <xdr:colOff>600075</xdr:colOff>
                    <xdr:row>91</xdr:row>
                    <xdr:rowOff>171450</xdr:rowOff>
                  </from>
                  <to>
                    <xdr:col>0</xdr:col>
                    <xdr:colOff>809625</xdr:colOff>
                    <xdr:row>93</xdr:row>
                    <xdr:rowOff>9525</xdr:rowOff>
                  </to>
                </anchor>
              </controlPr>
            </control>
          </mc:Choice>
        </mc:AlternateContent>
        <mc:AlternateContent xmlns:mc="http://schemas.openxmlformats.org/markup-compatibility/2006">
          <mc:Choice Requires="x14">
            <control shapeId="10329" r:id="rId161" name="Option Button 89">
              <controlPr defaultSize="0" autoFill="0" autoLine="0" autoPict="0">
                <anchor moveWithCells="1">
                  <from>
                    <xdr:col>3</xdr:col>
                    <xdr:colOff>619125</xdr:colOff>
                    <xdr:row>91</xdr:row>
                    <xdr:rowOff>180975</xdr:rowOff>
                  </from>
                  <to>
                    <xdr:col>4</xdr:col>
                    <xdr:colOff>171450</xdr:colOff>
                    <xdr:row>93</xdr:row>
                    <xdr:rowOff>9525</xdr:rowOff>
                  </to>
                </anchor>
              </controlPr>
            </control>
          </mc:Choice>
        </mc:AlternateContent>
        <mc:AlternateContent xmlns:mc="http://schemas.openxmlformats.org/markup-compatibility/2006">
          <mc:Choice Requires="x14">
            <control shapeId="10330" r:id="rId162" name="Option Button 90">
              <controlPr defaultSize="0" autoFill="0" autoLine="0" autoPict="0">
                <anchor moveWithCells="1">
                  <from>
                    <xdr:col>3</xdr:col>
                    <xdr:colOff>619125</xdr:colOff>
                    <xdr:row>91</xdr:row>
                    <xdr:rowOff>180975</xdr:rowOff>
                  </from>
                  <to>
                    <xdr:col>4</xdr:col>
                    <xdr:colOff>171450</xdr:colOff>
                    <xdr:row>93</xdr:row>
                    <xdr:rowOff>9525</xdr:rowOff>
                  </to>
                </anchor>
              </controlPr>
            </control>
          </mc:Choice>
        </mc:AlternateContent>
        <mc:AlternateContent xmlns:mc="http://schemas.openxmlformats.org/markup-compatibility/2006">
          <mc:Choice Requires="x14">
            <control shapeId="10331" r:id="rId163" name="Option Button 91">
              <controlPr defaultSize="0" autoFill="0" autoLine="0" autoPict="0">
                <anchor moveWithCells="1">
                  <from>
                    <xdr:col>3</xdr:col>
                    <xdr:colOff>619125</xdr:colOff>
                    <xdr:row>92</xdr:row>
                    <xdr:rowOff>180975</xdr:rowOff>
                  </from>
                  <to>
                    <xdr:col>4</xdr:col>
                    <xdr:colOff>171450</xdr:colOff>
                    <xdr:row>94</xdr:row>
                    <xdr:rowOff>9525</xdr:rowOff>
                  </to>
                </anchor>
              </controlPr>
            </control>
          </mc:Choice>
        </mc:AlternateContent>
        <mc:AlternateContent xmlns:mc="http://schemas.openxmlformats.org/markup-compatibility/2006">
          <mc:Choice Requires="x14">
            <control shapeId="10332" r:id="rId164" name="Option Button 92">
              <controlPr defaultSize="0" autoFill="0" autoLine="0" autoPict="0">
                <anchor moveWithCells="1">
                  <from>
                    <xdr:col>3</xdr:col>
                    <xdr:colOff>619125</xdr:colOff>
                    <xdr:row>92</xdr:row>
                    <xdr:rowOff>180975</xdr:rowOff>
                  </from>
                  <to>
                    <xdr:col>4</xdr:col>
                    <xdr:colOff>171450</xdr:colOff>
                    <xdr:row>94</xdr:row>
                    <xdr:rowOff>9525</xdr:rowOff>
                  </to>
                </anchor>
              </controlPr>
            </control>
          </mc:Choice>
        </mc:AlternateContent>
        <mc:AlternateContent xmlns:mc="http://schemas.openxmlformats.org/markup-compatibility/2006">
          <mc:Choice Requires="x14">
            <control shapeId="10333" r:id="rId165" name="Option Button 93">
              <controlPr defaultSize="0" autoFill="0" autoLine="0" autoPict="0">
                <anchor moveWithCells="1">
                  <from>
                    <xdr:col>3</xdr:col>
                    <xdr:colOff>619125</xdr:colOff>
                    <xdr:row>93</xdr:row>
                    <xdr:rowOff>180975</xdr:rowOff>
                  </from>
                  <to>
                    <xdr:col>4</xdr:col>
                    <xdr:colOff>171450</xdr:colOff>
                    <xdr:row>95</xdr:row>
                    <xdr:rowOff>9525</xdr:rowOff>
                  </to>
                </anchor>
              </controlPr>
            </control>
          </mc:Choice>
        </mc:AlternateContent>
        <mc:AlternateContent xmlns:mc="http://schemas.openxmlformats.org/markup-compatibility/2006">
          <mc:Choice Requires="x14">
            <control shapeId="10334" r:id="rId166" name="Option Button 94">
              <controlPr defaultSize="0" autoFill="0" autoLine="0" autoPict="0">
                <anchor moveWithCells="1">
                  <from>
                    <xdr:col>3</xdr:col>
                    <xdr:colOff>619125</xdr:colOff>
                    <xdr:row>93</xdr:row>
                    <xdr:rowOff>180975</xdr:rowOff>
                  </from>
                  <to>
                    <xdr:col>4</xdr:col>
                    <xdr:colOff>171450</xdr:colOff>
                    <xdr:row>95</xdr:row>
                    <xdr:rowOff>9525</xdr:rowOff>
                  </to>
                </anchor>
              </controlPr>
            </control>
          </mc:Choice>
        </mc:AlternateContent>
        <mc:AlternateContent xmlns:mc="http://schemas.openxmlformats.org/markup-compatibility/2006">
          <mc:Choice Requires="x14">
            <control shapeId="10335" r:id="rId167" name="Option Button 95">
              <controlPr defaultSize="0" autoFill="0" autoLine="0" autoPict="0">
                <anchor moveWithCells="1">
                  <from>
                    <xdr:col>3</xdr:col>
                    <xdr:colOff>619125</xdr:colOff>
                    <xdr:row>94</xdr:row>
                    <xdr:rowOff>180975</xdr:rowOff>
                  </from>
                  <to>
                    <xdr:col>4</xdr:col>
                    <xdr:colOff>171450</xdr:colOff>
                    <xdr:row>96</xdr:row>
                    <xdr:rowOff>9525</xdr:rowOff>
                  </to>
                </anchor>
              </controlPr>
            </control>
          </mc:Choice>
        </mc:AlternateContent>
        <mc:AlternateContent xmlns:mc="http://schemas.openxmlformats.org/markup-compatibility/2006">
          <mc:Choice Requires="x14">
            <control shapeId="10336" r:id="rId168" name="Option Button 96">
              <controlPr defaultSize="0" autoFill="0" autoLine="0" autoPict="0">
                <anchor moveWithCells="1">
                  <from>
                    <xdr:col>3</xdr:col>
                    <xdr:colOff>619125</xdr:colOff>
                    <xdr:row>94</xdr:row>
                    <xdr:rowOff>180975</xdr:rowOff>
                  </from>
                  <to>
                    <xdr:col>4</xdr:col>
                    <xdr:colOff>171450</xdr:colOff>
                    <xdr:row>96</xdr:row>
                    <xdr:rowOff>9525</xdr:rowOff>
                  </to>
                </anchor>
              </controlPr>
            </control>
          </mc:Choice>
        </mc:AlternateContent>
        <mc:AlternateContent xmlns:mc="http://schemas.openxmlformats.org/markup-compatibility/2006">
          <mc:Choice Requires="x14">
            <control shapeId="10337" r:id="rId169" name="Option Button 97">
              <controlPr defaultSize="0" autoFill="0" autoLine="0" autoPict="0">
                <anchor moveWithCells="1">
                  <from>
                    <xdr:col>0</xdr:col>
                    <xdr:colOff>600075</xdr:colOff>
                    <xdr:row>89</xdr:row>
                    <xdr:rowOff>9525</xdr:rowOff>
                  </from>
                  <to>
                    <xdr:col>0</xdr:col>
                    <xdr:colOff>809625</xdr:colOff>
                    <xdr:row>90</xdr:row>
                    <xdr:rowOff>38100</xdr:rowOff>
                  </to>
                </anchor>
              </controlPr>
            </control>
          </mc:Choice>
        </mc:AlternateContent>
        <mc:AlternateContent xmlns:mc="http://schemas.openxmlformats.org/markup-compatibility/2006">
          <mc:Choice Requires="x14">
            <control shapeId="10338" r:id="rId170" name="Group Box 98">
              <controlPr defaultSize="0" autoFill="0" autoPict="0">
                <anchor moveWithCells="1">
                  <from>
                    <xdr:col>0</xdr:col>
                    <xdr:colOff>390525</xdr:colOff>
                    <xdr:row>88</xdr:row>
                    <xdr:rowOff>66675</xdr:rowOff>
                  </from>
                  <to>
                    <xdr:col>11</xdr:col>
                    <xdr:colOff>38100</xdr:colOff>
                    <xdr:row>102</xdr:row>
                    <xdr:rowOff>114300</xdr:rowOff>
                  </to>
                </anchor>
              </controlPr>
            </control>
          </mc:Choice>
        </mc:AlternateContent>
        <mc:AlternateContent xmlns:mc="http://schemas.openxmlformats.org/markup-compatibility/2006">
          <mc:Choice Requires="x14">
            <control shapeId="10339" r:id="rId171" name="Option Button 99">
              <controlPr defaultSize="0" autoFill="0" autoLine="0" autoPict="0">
                <anchor moveWithCells="1">
                  <from>
                    <xdr:col>3</xdr:col>
                    <xdr:colOff>619125</xdr:colOff>
                    <xdr:row>94</xdr:row>
                    <xdr:rowOff>180975</xdr:rowOff>
                  </from>
                  <to>
                    <xdr:col>4</xdr:col>
                    <xdr:colOff>171450</xdr:colOff>
                    <xdr:row>96</xdr:row>
                    <xdr:rowOff>9525</xdr:rowOff>
                  </to>
                </anchor>
              </controlPr>
            </control>
          </mc:Choice>
        </mc:AlternateContent>
        <mc:AlternateContent xmlns:mc="http://schemas.openxmlformats.org/markup-compatibility/2006">
          <mc:Choice Requires="x14">
            <control shapeId="10340" r:id="rId172" name="Option Button 100">
              <controlPr defaultSize="0" autoFill="0" autoLine="0" autoPict="0">
                <anchor moveWithCells="1">
                  <from>
                    <xdr:col>3</xdr:col>
                    <xdr:colOff>619125</xdr:colOff>
                    <xdr:row>94</xdr:row>
                    <xdr:rowOff>180975</xdr:rowOff>
                  </from>
                  <to>
                    <xdr:col>4</xdr:col>
                    <xdr:colOff>171450</xdr:colOff>
                    <xdr:row>96</xdr:row>
                    <xdr:rowOff>9525</xdr:rowOff>
                  </to>
                </anchor>
              </controlPr>
            </control>
          </mc:Choice>
        </mc:AlternateContent>
        <mc:AlternateContent xmlns:mc="http://schemas.openxmlformats.org/markup-compatibility/2006">
          <mc:Choice Requires="x14">
            <control shapeId="10341" r:id="rId173" name="Option Button 101">
              <controlPr defaultSize="0" autoFill="0" autoLine="0" autoPict="0">
                <anchor moveWithCells="1">
                  <from>
                    <xdr:col>3</xdr:col>
                    <xdr:colOff>619125</xdr:colOff>
                    <xdr:row>95</xdr:row>
                    <xdr:rowOff>180975</xdr:rowOff>
                  </from>
                  <to>
                    <xdr:col>4</xdr:col>
                    <xdr:colOff>171450</xdr:colOff>
                    <xdr:row>97</xdr:row>
                    <xdr:rowOff>9525</xdr:rowOff>
                  </to>
                </anchor>
              </controlPr>
            </control>
          </mc:Choice>
        </mc:AlternateContent>
        <mc:AlternateContent xmlns:mc="http://schemas.openxmlformats.org/markup-compatibility/2006">
          <mc:Choice Requires="x14">
            <control shapeId="10342" r:id="rId174" name="Option Button 102">
              <controlPr defaultSize="0" autoFill="0" autoLine="0" autoPict="0">
                <anchor moveWithCells="1">
                  <from>
                    <xdr:col>3</xdr:col>
                    <xdr:colOff>619125</xdr:colOff>
                    <xdr:row>95</xdr:row>
                    <xdr:rowOff>180975</xdr:rowOff>
                  </from>
                  <to>
                    <xdr:col>4</xdr:col>
                    <xdr:colOff>171450</xdr:colOff>
                    <xdr:row>97</xdr:row>
                    <xdr:rowOff>9525</xdr:rowOff>
                  </to>
                </anchor>
              </controlPr>
            </control>
          </mc:Choice>
        </mc:AlternateContent>
        <mc:AlternateContent xmlns:mc="http://schemas.openxmlformats.org/markup-compatibility/2006">
          <mc:Choice Requires="x14">
            <control shapeId="10343" r:id="rId175" name="Option Button 103">
              <controlPr defaultSize="0" autoFill="0" autoLine="0" autoPict="0">
                <anchor moveWithCells="1">
                  <from>
                    <xdr:col>3</xdr:col>
                    <xdr:colOff>619125</xdr:colOff>
                    <xdr:row>95</xdr:row>
                    <xdr:rowOff>180975</xdr:rowOff>
                  </from>
                  <to>
                    <xdr:col>4</xdr:col>
                    <xdr:colOff>171450</xdr:colOff>
                    <xdr:row>97</xdr:row>
                    <xdr:rowOff>9525</xdr:rowOff>
                  </to>
                </anchor>
              </controlPr>
            </control>
          </mc:Choice>
        </mc:AlternateContent>
        <mc:AlternateContent xmlns:mc="http://schemas.openxmlformats.org/markup-compatibility/2006">
          <mc:Choice Requires="x14">
            <control shapeId="10344" r:id="rId176" name="Option Button 104">
              <controlPr defaultSize="0" autoFill="0" autoLine="0" autoPict="0">
                <anchor moveWithCells="1">
                  <from>
                    <xdr:col>3</xdr:col>
                    <xdr:colOff>619125</xdr:colOff>
                    <xdr:row>95</xdr:row>
                    <xdr:rowOff>180975</xdr:rowOff>
                  </from>
                  <to>
                    <xdr:col>4</xdr:col>
                    <xdr:colOff>171450</xdr:colOff>
                    <xdr:row>97</xdr:row>
                    <xdr:rowOff>9525</xdr:rowOff>
                  </to>
                </anchor>
              </controlPr>
            </control>
          </mc:Choice>
        </mc:AlternateContent>
        <mc:AlternateContent xmlns:mc="http://schemas.openxmlformats.org/markup-compatibility/2006">
          <mc:Choice Requires="x14">
            <control shapeId="10345" r:id="rId177" name="Option Button 105">
              <controlPr defaultSize="0" autoFill="0" autoLine="0" autoPict="0">
                <anchor moveWithCells="1">
                  <from>
                    <xdr:col>3</xdr:col>
                    <xdr:colOff>619125</xdr:colOff>
                    <xdr:row>96</xdr:row>
                    <xdr:rowOff>180975</xdr:rowOff>
                  </from>
                  <to>
                    <xdr:col>4</xdr:col>
                    <xdr:colOff>171450</xdr:colOff>
                    <xdr:row>98</xdr:row>
                    <xdr:rowOff>9525</xdr:rowOff>
                  </to>
                </anchor>
              </controlPr>
            </control>
          </mc:Choice>
        </mc:AlternateContent>
        <mc:AlternateContent xmlns:mc="http://schemas.openxmlformats.org/markup-compatibility/2006">
          <mc:Choice Requires="x14">
            <control shapeId="10346" r:id="rId178" name="Option Button 106">
              <controlPr defaultSize="0" autoFill="0" autoLine="0" autoPict="0">
                <anchor moveWithCells="1">
                  <from>
                    <xdr:col>3</xdr:col>
                    <xdr:colOff>619125</xdr:colOff>
                    <xdr:row>96</xdr:row>
                    <xdr:rowOff>180975</xdr:rowOff>
                  </from>
                  <to>
                    <xdr:col>4</xdr:col>
                    <xdr:colOff>171450</xdr:colOff>
                    <xdr:row>98</xdr:row>
                    <xdr:rowOff>9525</xdr:rowOff>
                  </to>
                </anchor>
              </controlPr>
            </control>
          </mc:Choice>
        </mc:AlternateContent>
        <mc:AlternateContent xmlns:mc="http://schemas.openxmlformats.org/markup-compatibility/2006">
          <mc:Choice Requires="x14">
            <control shapeId="10347" r:id="rId179" name="Option Button 107">
              <controlPr defaultSize="0" autoFill="0" autoLine="0" autoPict="0">
                <anchor moveWithCells="1">
                  <from>
                    <xdr:col>3</xdr:col>
                    <xdr:colOff>619125</xdr:colOff>
                    <xdr:row>96</xdr:row>
                    <xdr:rowOff>180975</xdr:rowOff>
                  </from>
                  <to>
                    <xdr:col>4</xdr:col>
                    <xdr:colOff>171450</xdr:colOff>
                    <xdr:row>98</xdr:row>
                    <xdr:rowOff>9525</xdr:rowOff>
                  </to>
                </anchor>
              </controlPr>
            </control>
          </mc:Choice>
        </mc:AlternateContent>
        <mc:AlternateContent xmlns:mc="http://schemas.openxmlformats.org/markup-compatibility/2006">
          <mc:Choice Requires="x14">
            <control shapeId="10348" r:id="rId180" name="Option Button 108">
              <controlPr defaultSize="0" autoFill="0" autoLine="0" autoPict="0">
                <anchor moveWithCells="1">
                  <from>
                    <xdr:col>3</xdr:col>
                    <xdr:colOff>619125</xdr:colOff>
                    <xdr:row>96</xdr:row>
                    <xdr:rowOff>180975</xdr:rowOff>
                  </from>
                  <to>
                    <xdr:col>4</xdr:col>
                    <xdr:colOff>171450</xdr:colOff>
                    <xdr:row>98</xdr:row>
                    <xdr:rowOff>9525</xdr:rowOff>
                  </to>
                </anchor>
              </controlPr>
            </control>
          </mc:Choice>
        </mc:AlternateContent>
        <mc:AlternateContent xmlns:mc="http://schemas.openxmlformats.org/markup-compatibility/2006">
          <mc:Choice Requires="x14">
            <control shapeId="10349" r:id="rId181" name="Option Button 109">
              <controlPr defaultSize="0" autoFill="0" autoLine="0" autoPict="0">
                <anchor moveWithCells="1">
                  <from>
                    <xdr:col>3</xdr:col>
                    <xdr:colOff>619125</xdr:colOff>
                    <xdr:row>97</xdr:row>
                    <xdr:rowOff>180975</xdr:rowOff>
                  </from>
                  <to>
                    <xdr:col>4</xdr:col>
                    <xdr:colOff>171450</xdr:colOff>
                    <xdr:row>99</xdr:row>
                    <xdr:rowOff>9525</xdr:rowOff>
                  </to>
                </anchor>
              </controlPr>
            </control>
          </mc:Choice>
        </mc:AlternateContent>
        <mc:AlternateContent xmlns:mc="http://schemas.openxmlformats.org/markup-compatibility/2006">
          <mc:Choice Requires="x14">
            <control shapeId="10350" r:id="rId182" name="Option Button 110">
              <controlPr defaultSize="0" autoFill="0" autoLine="0" autoPict="0">
                <anchor moveWithCells="1">
                  <from>
                    <xdr:col>3</xdr:col>
                    <xdr:colOff>619125</xdr:colOff>
                    <xdr:row>97</xdr:row>
                    <xdr:rowOff>180975</xdr:rowOff>
                  </from>
                  <to>
                    <xdr:col>4</xdr:col>
                    <xdr:colOff>171450</xdr:colOff>
                    <xdr:row>99</xdr:row>
                    <xdr:rowOff>9525</xdr:rowOff>
                  </to>
                </anchor>
              </controlPr>
            </control>
          </mc:Choice>
        </mc:AlternateContent>
        <mc:AlternateContent xmlns:mc="http://schemas.openxmlformats.org/markup-compatibility/2006">
          <mc:Choice Requires="x14">
            <control shapeId="10351" r:id="rId183" name="Option Button 111">
              <controlPr defaultSize="0" autoFill="0" autoLine="0" autoPict="0">
                <anchor moveWithCells="1">
                  <from>
                    <xdr:col>3</xdr:col>
                    <xdr:colOff>619125</xdr:colOff>
                    <xdr:row>97</xdr:row>
                    <xdr:rowOff>180975</xdr:rowOff>
                  </from>
                  <to>
                    <xdr:col>4</xdr:col>
                    <xdr:colOff>171450</xdr:colOff>
                    <xdr:row>99</xdr:row>
                    <xdr:rowOff>9525</xdr:rowOff>
                  </to>
                </anchor>
              </controlPr>
            </control>
          </mc:Choice>
        </mc:AlternateContent>
        <mc:AlternateContent xmlns:mc="http://schemas.openxmlformats.org/markup-compatibility/2006">
          <mc:Choice Requires="x14">
            <control shapeId="10352" r:id="rId184" name="Option Button 112">
              <controlPr defaultSize="0" autoFill="0" autoLine="0" autoPict="0">
                <anchor moveWithCells="1">
                  <from>
                    <xdr:col>3</xdr:col>
                    <xdr:colOff>619125</xdr:colOff>
                    <xdr:row>97</xdr:row>
                    <xdr:rowOff>180975</xdr:rowOff>
                  </from>
                  <to>
                    <xdr:col>4</xdr:col>
                    <xdr:colOff>171450</xdr:colOff>
                    <xdr:row>99</xdr:row>
                    <xdr:rowOff>9525</xdr:rowOff>
                  </to>
                </anchor>
              </controlPr>
            </control>
          </mc:Choice>
        </mc:AlternateContent>
        <mc:AlternateContent xmlns:mc="http://schemas.openxmlformats.org/markup-compatibility/2006">
          <mc:Choice Requires="x14">
            <control shapeId="10353" r:id="rId185" name="Option Button 113">
              <controlPr defaultSize="0" autoFill="0" autoLine="0" autoPict="0">
                <anchor moveWithCells="1">
                  <from>
                    <xdr:col>3</xdr:col>
                    <xdr:colOff>619125</xdr:colOff>
                    <xdr:row>97</xdr:row>
                    <xdr:rowOff>180975</xdr:rowOff>
                  </from>
                  <to>
                    <xdr:col>4</xdr:col>
                    <xdr:colOff>171450</xdr:colOff>
                    <xdr:row>99</xdr:row>
                    <xdr:rowOff>9525</xdr:rowOff>
                  </to>
                </anchor>
              </controlPr>
            </control>
          </mc:Choice>
        </mc:AlternateContent>
        <mc:AlternateContent xmlns:mc="http://schemas.openxmlformats.org/markup-compatibility/2006">
          <mc:Choice Requires="x14">
            <control shapeId="10354" r:id="rId186" name="Option Button 114">
              <controlPr defaultSize="0" autoFill="0" autoLine="0" autoPict="0">
                <anchor moveWithCells="1">
                  <from>
                    <xdr:col>3</xdr:col>
                    <xdr:colOff>619125</xdr:colOff>
                    <xdr:row>97</xdr:row>
                    <xdr:rowOff>180975</xdr:rowOff>
                  </from>
                  <to>
                    <xdr:col>4</xdr:col>
                    <xdr:colOff>171450</xdr:colOff>
                    <xdr:row>99</xdr:row>
                    <xdr:rowOff>9525</xdr:rowOff>
                  </to>
                </anchor>
              </controlPr>
            </control>
          </mc:Choice>
        </mc:AlternateContent>
        <mc:AlternateContent xmlns:mc="http://schemas.openxmlformats.org/markup-compatibility/2006">
          <mc:Choice Requires="x14">
            <control shapeId="10355" r:id="rId187" name="Option Button 115">
              <controlPr defaultSize="0" autoFill="0" autoLine="0" autoPict="0">
                <anchor moveWithCells="1">
                  <from>
                    <xdr:col>3</xdr:col>
                    <xdr:colOff>619125</xdr:colOff>
                    <xdr:row>97</xdr:row>
                    <xdr:rowOff>180975</xdr:rowOff>
                  </from>
                  <to>
                    <xdr:col>4</xdr:col>
                    <xdr:colOff>171450</xdr:colOff>
                    <xdr:row>99</xdr:row>
                    <xdr:rowOff>9525</xdr:rowOff>
                  </to>
                </anchor>
              </controlPr>
            </control>
          </mc:Choice>
        </mc:AlternateContent>
        <mc:AlternateContent xmlns:mc="http://schemas.openxmlformats.org/markup-compatibility/2006">
          <mc:Choice Requires="x14">
            <control shapeId="10356" r:id="rId188" name="Option Button 116">
              <controlPr defaultSize="0" autoFill="0" autoLine="0" autoPict="0">
                <anchor moveWithCells="1">
                  <from>
                    <xdr:col>3</xdr:col>
                    <xdr:colOff>619125</xdr:colOff>
                    <xdr:row>97</xdr:row>
                    <xdr:rowOff>180975</xdr:rowOff>
                  </from>
                  <to>
                    <xdr:col>4</xdr:col>
                    <xdr:colOff>171450</xdr:colOff>
                    <xdr:row>99</xdr:row>
                    <xdr:rowOff>9525</xdr:rowOff>
                  </to>
                </anchor>
              </controlPr>
            </control>
          </mc:Choice>
        </mc:AlternateContent>
        <mc:AlternateContent xmlns:mc="http://schemas.openxmlformats.org/markup-compatibility/2006">
          <mc:Choice Requires="x14">
            <control shapeId="10357" r:id="rId189" name="Option Button 117">
              <controlPr defaultSize="0" autoFill="0" autoLine="0" autoPict="0">
                <anchor moveWithCells="1">
                  <from>
                    <xdr:col>3</xdr:col>
                    <xdr:colOff>619125</xdr:colOff>
                    <xdr:row>98</xdr:row>
                    <xdr:rowOff>180975</xdr:rowOff>
                  </from>
                  <to>
                    <xdr:col>4</xdr:col>
                    <xdr:colOff>171450</xdr:colOff>
                    <xdr:row>100</xdr:row>
                    <xdr:rowOff>9525</xdr:rowOff>
                  </to>
                </anchor>
              </controlPr>
            </control>
          </mc:Choice>
        </mc:AlternateContent>
        <mc:AlternateContent xmlns:mc="http://schemas.openxmlformats.org/markup-compatibility/2006">
          <mc:Choice Requires="x14">
            <control shapeId="10358" r:id="rId190" name="Option Button 118">
              <controlPr defaultSize="0" autoFill="0" autoLine="0" autoPict="0">
                <anchor moveWithCells="1">
                  <from>
                    <xdr:col>3</xdr:col>
                    <xdr:colOff>619125</xdr:colOff>
                    <xdr:row>98</xdr:row>
                    <xdr:rowOff>180975</xdr:rowOff>
                  </from>
                  <to>
                    <xdr:col>4</xdr:col>
                    <xdr:colOff>171450</xdr:colOff>
                    <xdr:row>100</xdr:row>
                    <xdr:rowOff>9525</xdr:rowOff>
                  </to>
                </anchor>
              </controlPr>
            </control>
          </mc:Choice>
        </mc:AlternateContent>
        <mc:AlternateContent xmlns:mc="http://schemas.openxmlformats.org/markup-compatibility/2006">
          <mc:Choice Requires="x14">
            <control shapeId="10359" r:id="rId191" name="Option Button 119">
              <controlPr defaultSize="0" autoFill="0" autoLine="0" autoPict="0">
                <anchor moveWithCells="1">
                  <from>
                    <xdr:col>3</xdr:col>
                    <xdr:colOff>619125</xdr:colOff>
                    <xdr:row>98</xdr:row>
                    <xdr:rowOff>180975</xdr:rowOff>
                  </from>
                  <to>
                    <xdr:col>4</xdr:col>
                    <xdr:colOff>171450</xdr:colOff>
                    <xdr:row>100</xdr:row>
                    <xdr:rowOff>9525</xdr:rowOff>
                  </to>
                </anchor>
              </controlPr>
            </control>
          </mc:Choice>
        </mc:AlternateContent>
        <mc:AlternateContent xmlns:mc="http://schemas.openxmlformats.org/markup-compatibility/2006">
          <mc:Choice Requires="x14">
            <control shapeId="10360" r:id="rId192" name="Option Button 120">
              <controlPr defaultSize="0" autoFill="0" autoLine="0" autoPict="0">
                <anchor moveWithCells="1">
                  <from>
                    <xdr:col>3</xdr:col>
                    <xdr:colOff>619125</xdr:colOff>
                    <xdr:row>98</xdr:row>
                    <xdr:rowOff>180975</xdr:rowOff>
                  </from>
                  <to>
                    <xdr:col>4</xdr:col>
                    <xdr:colOff>171450</xdr:colOff>
                    <xdr:row>100</xdr:row>
                    <xdr:rowOff>9525</xdr:rowOff>
                  </to>
                </anchor>
              </controlPr>
            </control>
          </mc:Choice>
        </mc:AlternateContent>
        <mc:AlternateContent xmlns:mc="http://schemas.openxmlformats.org/markup-compatibility/2006">
          <mc:Choice Requires="x14">
            <control shapeId="10361" r:id="rId193" name="Option Button 121">
              <controlPr defaultSize="0" autoFill="0" autoLine="0" autoPict="0">
                <anchor moveWithCells="1">
                  <from>
                    <xdr:col>3</xdr:col>
                    <xdr:colOff>619125</xdr:colOff>
                    <xdr:row>98</xdr:row>
                    <xdr:rowOff>180975</xdr:rowOff>
                  </from>
                  <to>
                    <xdr:col>4</xdr:col>
                    <xdr:colOff>171450</xdr:colOff>
                    <xdr:row>100</xdr:row>
                    <xdr:rowOff>9525</xdr:rowOff>
                  </to>
                </anchor>
              </controlPr>
            </control>
          </mc:Choice>
        </mc:AlternateContent>
        <mc:AlternateContent xmlns:mc="http://schemas.openxmlformats.org/markup-compatibility/2006">
          <mc:Choice Requires="x14">
            <control shapeId="10362" r:id="rId194" name="Option Button 122">
              <controlPr defaultSize="0" autoFill="0" autoLine="0" autoPict="0">
                <anchor moveWithCells="1">
                  <from>
                    <xdr:col>3</xdr:col>
                    <xdr:colOff>619125</xdr:colOff>
                    <xdr:row>98</xdr:row>
                    <xdr:rowOff>180975</xdr:rowOff>
                  </from>
                  <to>
                    <xdr:col>4</xdr:col>
                    <xdr:colOff>171450</xdr:colOff>
                    <xdr:row>100</xdr:row>
                    <xdr:rowOff>9525</xdr:rowOff>
                  </to>
                </anchor>
              </controlPr>
            </control>
          </mc:Choice>
        </mc:AlternateContent>
        <mc:AlternateContent xmlns:mc="http://schemas.openxmlformats.org/markup-compatibility/2006">
          <mc:Choice Requires="x14">
            <control shapeId="10363" r:id="rId195" name="Option Button 123">
              <controlPr defaultSize="0" autoFill="0" autoLine="0" autoPict="0">
                <anchor moveWithCells="1">
                  <from>
                    <xdr:col>3</xdr:col>
                    <xdr:colOff>619125</xdr:colOff>
                    <xdr:row>98</xdr:row>
                    <xdr:rowOff>180975</xdr:rowOff>
                  </from>
                  <to>
                    <xdr:col>4</xdr:col>
                    <xdr:colOff>171450</xdr:colOff>
                    <xdr:row>100</xdr:row>
                    <xdr:rowOff>9525</xdr:rowOff>
                  </to>
                </anchor>
              </controlPr>
            </control>
          </mc:Choice>
        </mc:AlternateContent>
        <mc:AlternateContent xmlns:mc="http://schemas.openxmlformats.org/markup-compatibility/2006">
          <mc:Choice Requires="x14">
            <control shapeId="10364" r:id="rId196" name="Option Button 124">
              <controlPr defaultSize="0" autoFill="0" autoLine="0" autoPict="0">
                <anchor moveWithCells="1">
                  <from>
                    <xdr:col>3</xdr:col>
                    <xdr:colOff>619125</xdr:colOff>
                    <xdr:row>98</xdr:row>
                    <xdr:rowOff>180975</xdr:rowOff>
                  </from>
                  <to>
                    <xdr:col>4</xdr:col>
                    <xdr:colOff>171450</xdr:colOff>
                    <xdr:row>100</xdr:row>
                    <xdr:rowOff>9525</xdr:rowOff>
                  </to>
                </anchor>
              </controlPr>
            </control>
          </mc:Choice>
        </mc:AlternateContent>
        <mc:AlternateContent xmlns:mc="http://schemas.openxmlformats.org/markup-compatibility/2006">
          <mc:Choice Requires="x14">
            <control shapeId="10365" r:id="rId197" name="Check Box 125">
              <controlPr defaultSize="0" autoFill="0" autoLine="0" autoPict="0">
                <anchor moveWithCells="1">
                  <from>
                    <xdr:col>4</xdr:col>
                    <xdr:colOff>571500</xdr:colOff>
                    <xdr:row>137</xdr:row>
                    <xdr:rowOff>180975</xdr:rowOff>
                  </from>
                  <to>
                    <xdr:col>5</xdr:col>
                    <xdr:colOff>161925</xdr:colOff>
                    <xdr:row>139</xdr:row>
                    <xdr:rowOff>9525</xdr:rowOff>
                  </to>
                </anchor>
              </controlPr>
            </control>
          </mc:Choice>
        </mc:AlternateContent>
        <mc:AlternateContent xmlns:mc="http://schemas.openxmlformats.org/markup-compatibility/2006">
          <mc:Choice Requires="x14">
            <control shapeId="10366" r:id="rId198" name="Option Button 126">
              <controlPr defaultSize="0" autoFill="0" autoLine="0" autoPict="0">
                <anchor moveWithCells="1">
                  <from>
                    <xdr:col>0</xdr:col>
                    <xdr:colOff>600075</xdr:colOff>
                    <xdr:row>14</xdr:row>
                    <xdr:rowOff>180975</xdr:rowOff>
                  </from>
                  <to>
                    <xdr:col>0</xdr:col>
                    <xdr:colOff>828675</xdr:colOff>
                    <xdr:row>16</xdr:row>
                    <xdr:rowOff>19050</xdr:rowOff>
                  </to>
                </anchor>
              </controlPr>
            </control>
          </mc:Choice>
        </mc:AlternateContent>
        <mc:AlternateContent xmlns:mc="http://schemas.openxmlformats.org/markup-compatibility/2006">
          <mc:Choice Requires="x14">
            <control shapeId="10367" r:id="rId199" name="Option Button 127">
              <controlPr defaultSize="0" autoFill="0" autoLine="0" autoPict="0">
                <anchor moveWithCells="1">
                  <from>
                    <xdr:col>0</xdr:col>
                    <xdr:colOff>600075</xdr:colOff>
                    <xdr:row>16</xdr:row>
                    <xdr:rowOff>180975</xdr:rowOff>
                  </from>
                  <to>
                    <xdr:col>0</xdr:col>
                    <xdr:colOff>828675</xdr:colOff>
                    <xdr:row>18</xdr:row>
                    <xdr:rowOff>19050</xdr:rowOff>
                  </to>
                </anchor>
              </controlPr>
            </control>
          </mc:Choice>
        </mc:AlternateContent>
        <mc:AlternateContent xmlns:mc="http://schemas.openxmlformats.org/markup-compatibility/2006">
          <mc:Choice Requires="x14">
            <control shapeId="10370" r:id="rId200" name="Option Button 130">
              <controlPr defaultSize="0" autoFill="0" autoLine="0" autoPict="0">
                <anchor moveWithCells="1">
                  <from>
                    <xdr:col>0</xdr:col>
                    <xdr:colOff>600075</xdr:colOff>
                    <xdr:row>16</xdr:row>
                    <xdr:rowOff>0</xdr:rowOff>
                  </from>
                  <to>
                    <xdr:col>1</xdr:col>
                    <xdr:colOff>0</xdr:colOff>
                    <xdr:row>17</xdr:row>
                    <xdr:rowOff>38100</xdr:rowOff>
                  </to>
                </anchor>
              </controlPr>
            </control>
          </mc:Choice>
        </mc:AlternateContent>
        <mc:AlternateContent xmlns:mc="http://schemas.openxmlformats.org/markup-compatibility/2006">
          <mc:Choice Requires="x14">
            <control shapeId="10374" r:id="rId201" name="Option Button 134">
              <controlPr defaultSize="0" autoFill="0" autoLine="0" autoPict="0">
                <anchor moveWithCells="1">
                  <from>
                    <xdr:col>7</xdr:col>
                    <xdr:colOff>561975</xdr:colOff>
                    <xdr:row>33</xdr:row>
                    <xdr:rowOff>171450</xdr:rowOff>
                  </from>
                  <to>
                    <xdr:col>8</xdr:col>
                    <xdr:colOff>114300</xdr:colOff>
                    <xdr:row>35</xdr:row>
                    <xdr:rowOff>9525</xdr:rowOff>
                  </to>
                </anchor>
              </controlPr>
            </control>
          </mc:Choice>
        </mc:AlternateContent>
        <mc:AlternateContent xmlns:mc="http://schemas.openxmlformats.org/markup-compatibility/2006">
          <mc:Choice Requires="x14">
            <control shapeId="10375" r:id="rId202" name="Option Button 135">
              <controlPr defaultSize="0" autoFill="0" autoLine="0" autoPict="0">
                <anchor moveWithCells="1">
                  <from>
                    <xdr:col>5</xdr:col>
                    <xdr:colOff>552450</xdr:colOff>
                    <xdr:row>33</xdr:row>
                    <xdr:rowOff>180975</xdr:rowOff>
                  </from>
                  <to>
                    <xdr:col>6</xdr:col>
                    <xdr:colOff>114300</xdr:colOff>
                    <xdr:row>35</xdr:row>
                    <xdr:rowOff>19050</xdr:rowOff>
                  </to>
                </anchor>
              </controlPr>
            </control>
          </mc:Choice>
        </mc:AlternateContent>
        <mc:AlternateContent xmlns:mc="http://schemas.openxmlformats.org/markup-compatibility/2006">
          <mc:Choice Requires="x14">
            <control shapeId="10376" r:id="rId203" name="Option Button 136">
              <controlPr defaultSize="0" autoFill="0" autoLine="0" autoPict="0">
                <anchor moveWithCells="1">
                  <from>
                    <xdr:col>8</xdr:col>
                    <xdr:colOff>542925</xdr:colOff>
                    <xdr:row>34</xdr:row>
                    <xdr:rowOff>0</xdr:rowOff>
                  </from>
                  <to>
                    <xdr:col>9</xdr:col>
                    <xdr:colOff>104775</xdr:colOff>
                    <xdr:row>35</xdr:row>
                    <xdr:rowOff>28575</xdr:rowOff>
                  </to>
                </anchor>
              </controlPr>
            </control>
          </mc:Choice>
        </mc:AlternateContent>
        <mc:AlternateContent xmlns:mc="http://schemas.openxmlformats.org/markup-compatibility/2006">
          <mc:Choice Requires="x14">
            <control shapeId="10377" r:id="rId204" name="Option Button 137">
              <controlPr defaultSize="0" autoFill="0" autoLine="0" autoPict="0">
                <anchor moveWithCells="1">
                  <from>
                    <xdr:col>3</xdr:col>
                    <xdr:colOff>609600</xdr:colOff>
                    <xdr:row>46</xdr:row>
                    <xdr:rowOff>161925</xdr:rowOff>
                  </from>
                  <to>
                    <xdr:col>4</xdr:col>
                    <xdr:colOff>200025</xdr:colOff>
                    <xdr:row>48</xdr:row>
                    <xdr:rowOff>9525</xdr:rowOff>
                  </to>
                </anchor>
              </controlPr>
            </control>
          </mc:Choice>
        </mc:AlternateContent>
        <mc:AlternateContent xmlns:mc="http://schemas.openxmlformats.org/markup-compatibility/2006">
          <mc:Choice Requires="x14">
            <control shapeId="10378" r:id="rId205" name="Group Box 138">
              <controlPr defaultSize="0" autoFill="0" autoPict="0">
                <anchor moveWithCells="1">
                  <from>
                    <xdr:col>0</xdr:col>
                    <xdr:colOff>219075</xdr:colOff>
                    <xdr:row>26</xdr:row>
                    <xdr:rowOff>123825</xdr:rowOff>
                  </from>
                  <to>
                    <xdr:col>8</xdr:col>
                    <xdr:colOff>38100</xdr:colOff>
                    <xdr:row>31</xdr:row>
                    <xdr:rowOff>38100</xdr:rowOff>
                  </to>
                </anchor>
              </controlPr>
            </control>
          </mc:Choice>
        </mc:AlternateContent>
        <mc:AlternateContent xmlns:mc="http://schemas.openxmlformats.org/markup-compatibility/2006">
          <mc:Choice Requires="x14">
            <control shapeId="10379" r:id="rId206" name="Group Box 139">
              <controlPr defaultSize="0" autoFill="0" autoPict="0">
                <anchor moveWithCells="1">
                  <from>
                    <xdr:col>0</xdr:col>
                    <xdr:colOff>238125</xdr:colOff>
                    <xdr:row>33</xdr:row>
                    <xdr:rowOff>171450</xdr:rowOff>
                  </from>
                  <to>
                    <xdr:col>10</xdr:col>
                    <xdr:colOff>447675</xdr:colOff>
                    <xdr:row>37</xdr:row>
                    <xdr:rowOff>104775</xdr:rowOff>
                  </to>
                </anchor>
              </controlPr>
            </control>
          </mc:Choice>
        </mc:AlternateContent>
        <mc:AlternateContent xmlns:mc="http://schemas.openxmlformats.org/markup-compatibility/2006">
          <mc:Choice Requires="x14">
            <control shapeId="10380" r:id="rId207" name="Option Button 14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81" r:id="rId208" name="Option Button 141">
              <controlPr defaultSize="0" autoFill="0" autoLine="0" autoPict="0">
                <anchor moveWithCells="1">
                  <from>
                    <xdr:col>7</xdr:col>
                    <xdr:colOff>200025</xdr:colOff>
                    <xdr:row>46</xdr:row>
                    <xdr:rowOff>0</xdr:rowOff>
                  </from>
                  <to>
                    <xdr:col>7</xdr:col>
                    <xdr:colOff>447675</xdr:colOff>
                    <xdr:row>47</xdr:row>
                    <xdr:rowOff>28575</xdr:rowOff>
                  </to>
                </anchor>
              </controlPr>
            </control>
          </mc:Choice>
        </mc:AlternateContent>
        <mc:AlternateContent xmlns:mc="http://schemas.openxmlformats.org/markup-compatibility/2006">
          <mc:Choice Requires="x14">
            <control shapeId="10382" r:id="rId209" name="Option Button 142">
              <controlPr defaultSize="0" autoFill="0" autoLine="0" autoPict="0">
                <anchor moveWithCells="1">
                  <from>
                    <xdr:col>0</xdr:col>
                    <xdr:colOff>600075</xdr:colOff>
                    <xdr:row>22</xdr:row>
                    <xdr:rowOff>171450</xdr:rowOff>
                  </from>
                  <to>
                    <xdr:col>0</xdr:col>
                    <xdr:colOff>819150</xdr:colOff>
                    <xdr:row>24</xdr:row>
                    <xdr:rowOff>9525</xdr:rowOff>
                  </to>
                </anchor>
              </controlPr>
            </control>
          </mc:Choice>
        </mc:AlternateContent>
        <mc:AlternateContent xmlns:mc="http://schemas.openxmlformats.org/markup-compatibility/2006">
          <mc:Choice Requires="x14">
            <control shapeId="10383" r:id="rId210" name="Group Box 143">
              <controlPr defaultSize="0" autoFill="0" autoPict="0">
                <anchor moveWithCells="1">
                  <from>
                    <xdr:col>0</xdr:col>
                    <xdr:colOff>161925</xdr:colOff>
                    <xdr:row>14</xdr:row>
                    <xdr:rowOff>95250</xdr:rowOff>
                  </from>
                  <to>
                    <xdr:col>10</xdr:col>
                    <xdr:colOff>495300</xdr:colOff>
                    <xdr:row>24</xdr:row>
                    <xdr:rowOff>38100</xdr:rowOff>
                  </to>
                </anchor>
              </controlPr>
            </control>
          </mc:Choice>
        </mc:AlternateContent>
        <mc:AlternateContent xmlns:mc="http://schemas.openxmlformats.org/markup-compatibility/2006">
          <mc:Choice Requires="x14">
            <control shapeId="10384" r:id="rId211" name="Group Box 144">
              <controlPr defaultSize="0" autoFill="0" autoPict="0">
                <anchor moveWithCells="1">
                  <from>
                    <xdr:col>2</xdr:col>
                    <xdr:colOff>66675</xdr:colOff>
                    <xdr:row>13</xdr:row>
                    <xdr:rowOff>0</xdr:rowOff>
                  </from>
                  <to>
                    <xdr:col>6</xdr:col>
                    <xdr:colOff>304800</xdr:colOff>
                    <xdr:row>15</xdr:row>
                    <xdr:rowOff>57150</xdr:rowOff>
                  </to>
                </anchor>
              </controlPr>
            </control>
          </mc:Choice>
        </mc:AlternateContent>
        <mc:AlternateContent xmlns:mc="http://schemas.openxmlformats.org/markup-compatibility/2006">
          <mc:Choice Requires="x14">
            <control shapeId="10386" r:id="rId212" name="Option Button 146">
              <controlPr defaultSize="0" autoFill="0" autoLine="0" autoPict="0">
                <anchor moveWithCells="1">
                  <from>
                    <xdr:col>3</xdr:col>
                    <xdr:colOff>561975</xdr:colOff>
                    <xdr:row>66</xdr:row>
                    <xdr:rowOff>9525</xdr:rowOff>
                  </from>
                  <to>
                    <xdr:col>4</xdr:col>
                    <xdr:colOff>152400</xdr:colOff>
                    <xdr:row>67</xdr:row>
                    <xdr:rowOff>47625</xdr:rowOff>
                  </to>
                </anchor>
              </controlPr>
            </control>
          </mc:Choice>
        </mc:AlternateContent>
        <mc:AlternateContent xmlns:mc="http://schemas.openxmlformats.org/markup-compatibility/2006">
          <mc:Choice Requires="x14">
            <control shapeId="10388" r:id="rId213" name="Option Button 148">
              <controlPr defaultSize="0" autoFill="0" autoLine="0" autoPict="0">
                <anchor moveWithCells="1">
                  <from>
                    <xdr:col>8</xdr:col>
                    <xdr:colOff>28575</xdr:colOff>
                    <xdr:row>114</xdr:row>
                    <xdr:rowOff>180975</xdr:rowOff>
                  </from>
                  <to>
                    <xdr:col>8</xdr:col>
                    <xdr:colOff>257175</xdr:colOff>
                    <xdr:row>116</xdr:row>
                    <xdr:rowOff>19050</xdr:rowOff>
                  </to>
                </anchor>
              </controlPr>
            </control>
          </mc:Choice>
        </mc:AlternateContent>
        <mc:AlternateContent xmlns:mc="http://schemas.openxmlformats.org/markup-compatibility/2006">
          <mc:Choice Requires="x14">
            <control shapeId="10389" r:id="rId214" name="Option Button 149">
              <controlPr defaultSize="0" autoFill="0" autoLine="0" autoPict="0">
                <anchor moveWithCells="1">
                  <from>
                    <xdr:col>8</xdr:col>
                    <xdr:colOff>38100</xdr:colOff>
                    <xdr:row>116</xdr:row>
                    <xdr:rowOff>9525</xdr:rowOff>
                  </from>
                  <to>
                    <xdr:col>8</xdr:col>
                    <xdr:colOff>266700</xdr:colOff>
                    <xdr:row>117</xdr:row>
                    <xdr:rowOff>38100</xdr:rowOff>
                  </to>
                </anchor>
              </controlPr>
            </control>
          </mc:Choice>
        </mc:AlternateContent>
        <mc:AlternateContent xmlns:mc="http://schemas.openxmlformats.org/markup-compatibility/2006">
          <mc:Choice Requires="x14">
            <control shapeId="10390" r:id="rId215" name="Option Button 150">
              <controlPr defaultSize="0" autoFill="0" autoLine="0" autoPict="0">
                <anchor moveWithCells="1">
                  <from>
                    <xdr:col>4</xdr:col>
                    <xdr:colOff>476250</xdr:colOff>
                    <xdr:row>130</xdr:row>
                    <xdr:rowOff>28575</xdr:rowOff>
                  </from>
                  <to>
                    <xdr:col>5</xdr:col>
                    <xdr:colOff>38100</xdr:colOff>
                    <xdr:row>131</xdr:row>
                    <xdr:rowOff>38100</xdr:rowOff>
                  </to>
                </anchor>
              </controlPr>
            </control>
          </mc:Choice>
        </mc:AlternateContent>
        <mc:AlternateContent xmlns:mc="http://schemas.openxmlformats.org/markup-compatibility/2006">
          <mc:Choice Requires="x14">
            <control shapeId="10391" r:id="rId216" name="Check Box 151">
              <controlPr defaultSize="0" autoFill="0" autoLine="0" autoPict="0">
                <anchor moveWithCells="1">
                  <from>
                    <xdr:col>5</xdr:col>
                    <xdr:colOff>476250</xdr:colOff>
                    <xdr:row>130</xdr:row>
                    <xdr:rowOff>9525</xdr:rowOff>
                  </from>
                  <to>
                    <xdr:col>6</xdr:col>
                    <xdr:colOff>47625</xdr:colOff>
                    <xdr:row>131</xdr:row>
                    <xdr:rowOff>38100</xdr:rowOff>
                  </to>
                </anchor>
              </controlPr>
            </control>
          </mc:Choice>
        </mc:AlternateContent>
        <mc:AlternateContent xmlns:mc="http://schemas.openxmlformats.org/markup-compatibility/2006">
          <mc:Choice Requires="x14">
            <control shapeId="10392" r:id="rId217" name="Group Box 152">
              <controlPr defaultSize="0" autoFill="0" autoPict="0">
                <anchor moveWithCells="1">
                  <from>
                    <xdr:col>0</xdr:col>
                    <xdr:colOff>314325</xdr:colOff>
                    <xdr:row>102</xdr:row>
                    <xdr:rowOff>0</xdr:rowOff>
                  </from>
                  <to>
                    <xdr:col>10</xdr:col>
                    <xdr:colOff>390525</xdr:colOff>
                    <xdr:row>106</xdr:row>
                    <xdr:rowOff>47625</xdr:rowOff>
                  </to>
                </anchor>
              </controlPr>
            </control>
          </mc:Choice>
        </mc:AlternateContent>
        <mc:AlternateContent xmlns:mc="http://schemas.openxmlformats.org/markup-compatibility/2006">
          <mc:Choice Requires="x14">
            <control shapeId="10393" r:id="rId218" name="Group Box 153">
              <controlPr defaultSize="0" autoFill="0" autoPict="0">
                <anchor moveWithCells="1">
                  <from>
                    <xdr:col>6</xdr:col>
                    <xdr:colOff>619125</xdr:colOff>
                    <xdr:row>138</xdr:row>
                    <xdr:rowOff>76200</xdr:rowOff>
                  </from>
                  <to>
                    <xdr:col>10</xdr:col>
                    <xdr:colOff>142875</xdr:colOff>
                    <xdr:row>148</xdr:row>
                    <xdr:rowOff>85725</xdr:rowOff>
                  </to>
                </anchor>
              </controlPr>
            </control>
          </mc:Choice>
        </mc:AlternateContent>
        <mc:AlternateContent xmlns:mc="http://schemas.openxmlformats.org/markup-compatibility/2006">
          <mc:Choice Requires="x14">
            <control shapeId="10394" r:id="rId219" name="Option Button 154">
              <controlPr defaultSize="0" autoFill="0" autoLine="0" autoPict="0">
                <anchor moveWithCells="1">
                  <from>
                    <xdr:col>7</xdr:col>
                    <xdr:colOff>371475</xdr:colOff>
                    <xdr:row>138</xdr:row>
                    <xdr:rowOff>180975</xdr:rowOff>
                  </from>
                  <to>
                    <xdr:col>7</xdr:col>
                    <xdr:colOff>619125</xdr:colOff>
                    <xdr:row>140</xdr:row>
                    <xdr:rowOff>19050</xdr:rowOff>
                  </to>
                </anchor>
              </controlPr>
            </control>
          </mc:Choice>
        </mc:AlternateContent>
        <mc:AlternateContent xmlns:mc="http://schemas.openxmlformats.org/markup-compatibility/2006">
          <mc:Choice Requires="x14">
            <control shapeId="10395" r:id="rId220" name="Option Button 155">
              <controlPr defaultSize="0" autoFill="0" autoLine="0" autoPict="0">
                <anchor moveWithCells="1">
                  <from>
                    <xdr:col>7</xdr:col>
                    <xdr:colOff>381000</xdr:colOff>
                    <xdr:row>139</xdr:row>
                    <xdr:rowOff>190500</xdr:rowOff>
                  </from>
                  <to>
                    <xdr:col>7</xdr:col>
                    <xdr:colOff>619125</xdr:colOff>
                    <xdr:row>141</xdr:row>
                    <xdr:rowOff>28575</xdr:rowOff>
                  </to>
                </anchor>
              </controlPr>
            </control>
          </mc:Choice>
        </mc:AlternateContent>
        <mc:AlternateContent xmlns:mc="http://schemas.openxmlformats.org/markup-compatibility/2006">
          <mc:Choice Requires="x14">
            <control shapeId="10396" r:id="rId221" name="Option Button 156">
              <controlPr defaultSize="0" autoFill="0" autoLine="0" autoPict="0">
                <anchor moveWithCells="1">
                  <from>
                    <xdr:col>7</xdr:col>
                    <xdr:colOff>390525</xdr:colOff>
                    <xdr:row>141</xdr:row>
                    <xdr:rowOff>0</xdr:rowOff>
                  </from>
                  <to>
                    <xdr:col>7</xdr:col>
                    <xdr:colOff>628650</xdr:colOff>
                    <xdr:row>142</xdr:row>
                    <xdr:rowOff>38100</xdr:rowOff>
                  </to>
                </anchor>
              </controlPr>
            </control>
          </mc:Choice>
        </mc:AlternateContent>
        <mc:AlternateContent xmlns:mc="http://schemas.openxmlformats.org/markup-compatibility/2006">
          <mc:Choice Requires="x14">
            <control shapeId="10397" r:id="rId222" name="Option Button 157">
              <controlPr defaultSize="0" autoFill="0" autoLine="0" autoPict="0">
                <anchor moveWithCells="1">
                  <from>
                    <xdr:col>7</xdr:col>
                    <xdr:colOff>390525</xdr:colOff>
                    <xdr:row>142</xdr:row>
                    <xdr:rowOff>0</xdr:rowOff>
                  </from>
                  <to>
                    <xdr:col>7</xdr:col>
                    <xdr:colOff>628650</xdr:colOff>
                    <xdr:row>143</xdr:row>
                    <xdr:rowOff>28575</xdr:rowOff>
                  </to>
                </anchor>
              </controlPr>
            </control>
          </mc:Choice>
        </mc:AlternateContent>
        <mc:AlternateContent xmlns:mc="http://schemas.openxmlformats.org/markup-compatibility/2006">
          <mc:Choice Requires="x14">
            <control shapeId="10398" r:id="rId223" name="Option Button 158">
              <controlPr defaultSize="0" autoFill="0" autoLine="0" autoPict="0">
                <anchor moveWithCells="1">
                  <from>
                    <xdr:col>7</xdr:col>
                    <xdr:colOff>390525</xdr:colOff>
                    <xdr:row>143</xdr:row>
                    <xdr:rowOff>28575</xdr:rowOff>
                  </from>
                  <to>
                    <xdr:col>7</xdr:col>
                    <xdr:colOff>628650</xdr:colOff>
                    <xdr:row>144</xdr:row>
                    <xdr:rowOff>57150</xdr:rowOff>
                  </to>
                </anchor>
              </controlPr>
            </control>
          </mc:Choice>
        </mc:AlternateContent>
        <mc:AlternateContent xmlns:mc="http://schemas.openxmlformats.org/markup-compatibility/2006">
          <mc:Choice Requires="x14">
            <control shapeId="10401" r:id="rId224" name="Option Button 161">
              <controlPr defaultSize="0" autoFill="0" autoLine="0" autoPict="0">
                <anchor moveWithCells="1">
                  <from>
                    <xdr:col>3</xdr:col>
                    <xdr:colOff>628650</xdr:colOff>
                    <xdr:row>90</xdr:row>
                    <xdr:rowOff>171450</xdr:rowOff>
                  </from>
                  <to>
                    <xdr:col>4</xdr:col>
                    <xdr:colOff>180975</xdr:colOff>
                    <xdr:row>92</xdr:row>
                    <xdr:rowOff>0</xdr:rowOff>
                  </to>
                </anchor>
              </controlPr>
            </control>
          </mc:Choice>
        </mc:AlternateContent>
        <mc:AlternateContent xmlns:mc="http://schemas.openxmlformats.org/markup-compatibility/2006">
          <mc:Choice Requires="x14">
            <control shapeId="10402" r:id="rId225" name="Check Box 162">
              <controlPr defaultSize="0" autoFill="0" autoLine="0" autoPict="0">
                <anchor moveWithCells="1">
                  <from>
                    <xdr:col>0</xdr:col>
                    <xdr:colOff>581025</xdr:colOff>
                    <xdr:row>137</xdr:row>
                    <xdr:rowOff>190500</xdr:rowOff>
                  </from>
                  <to>
                    <xdr:col>0</xdr:col>
                    <xdr:colOff>790575</xdr:colOff>
                    <xdr:row>139</xdr:row>
                    <xdr:rowOff>28575</xdr:rowOff>
                  </to>
                </anchor>
              </controlPr>
            </control>
          </mc:Choice>
        </mc:AlternateContent>
        <mc:AlternateContent xmlns:mc="http://schemas.openxmlformats.org/markup-compatibility/2006">
          <mc:Choice Requires="x14">
            <control shapeId="10403" r:id="rId226" name="Option Button 16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04" r:id="rId227" name="Check Box 164">
              <controlPr defaultSize="0" autoFill="0" autoLine="0" autoPict="0">
                <anchor moveWithCells="1">
                  <from>
                    <xdr:col>4</xdr:col>
                    <xdr:colOff>590550</xdr:colOff>
                    <xdr:row>140</xdr:row>
                    <xdr:rowOff>142875</xdr:rowOff>
                  </from>
                  <to>
                    <xdr:col>5</xdr:col>
                    <xdr:colOff>161925</xdr:colOff>
                    <xdr:row>141</xdr:row>
                    <xdr:rowOff>180975</xdr:rowOff>
                  </to>
                </anchor>
              </controlPr>
            </control>
          </mc:Choice>
        </mc:AlternateContent>
        <mc:AlternateContent xmlns:mc="http://schemas.openxmlformats.org/markup-compatibility/2006">
          <mc:Choice Requires="x14">
            <control shapeId="10405" r:id="rId228" name="Group Box 165">
              <controlPr defaultSize="0" autoFill="0" autoPict="0">
                <anchor moveWithCells="1">
                  <from>
                    <xdr:col>0</xdr:col>
                    <xdr:colOff>38100</xdr:colOff>
                    <xdr:row>39</xdr:row>
                    <xdr:rowOff>0</xdr:rowOff>
                  </from>
                  <to>
                    <xdr:col>9</xdr:col>
                    <xdr:colOff>609600</xdr:colOff>
                    <xdr:row>42</xdr:row>
                    <xdr:rowOff>180975</xdr:rowOff>
                  </to>
                </anchor>
              </controlPr>
            </control>
          </mc:Choice>
        </mc:AlternateContent>
        <mc:AlternateContent xmlns:mc="http://schemas.openxmlformats.org/markup-compatibility/2006">
          <mc:Choice Requires="x14">
            <control shapeId="10406" r:id="rId229" name="Option Button 16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07" r:id="rId230" name="Option Button 167">
              <controlPr defaultSize="0" autoFill="0" autoLine="0" autoPict="0">
                <anchor moveWithCells="1">
                  <from>
                    <xdr:col>2</xdr:col>
                    <xdr:colOff>581025</xdr:colOff>
                    <xdr:row>39</xdr:row>
                    <xdr:rowOff>190500</xdr:rowOff>
                  </from>
                  <to>
                    <xdr:col>3</xdr:col>
                    <xdr:colOff>171450</xdr:colOff>
                    <xdr:row>41</xdr:row>
                    <xdr:rowOff>28575</xdr:rowOff>
                  </to>
                </anchor>
              </controlPr>
            </control>
          </mc:Choice>
        </mc:AlternateContent>
        <mc:AlternateContent xmlns:mc="http://schemas.openxmlformats.org/markup-compatibility/2006">
          <mc:Choice Requires="x14">
            <control shapeId="10408" r:id="rId231" name="Option Button 168">
              <controlPr defaultSize="0" autoFill="0" autoLine="0" autoPict="0">
                <anchor moveWithCells="1">
                  <from>
                    <xdr:col>3</xdr:col>
                    <xdr:colOff>533400</xdr:colOff>
                    <xdr:row>39</xdr:row>
                    <xdr:rowOff>171450</xdr:rowOff>
                  </from>
                  <to>
                    <xdr:col>4</xdr:col>
                    <xdr:colOff>123825</xdr:colOff>
                    <xdr:row>41</xdr:row>
                    <xdr:rowOff>9525</xdr:rowOff>
                  </to>
                </anchor>
              </controlPr>
            </control>
          </mc:Choice>
        </mc:AlternateContent>
        <mc:AlternateContent xmlns:mc="http://schemas.openxmlformats.org/markup-compatibility/2006">
          <mc:Choice Requires="x14">
            <control shapeId="10409" r:id="rId232" name="Option Button 169">
              <controlPr defaultSize="0" autoFill="0" autoLine="0" autoPict="0">
                <anchor moveWithCells="1">
                  <from>
                    <xdr:col>4</xdr:col>
                    <xdr:colOff>581025</xdr:colOff>
                    <xdr:row>39</xdr:row>
                    <xdr:rowOff>171450</xdr:rowOff>
                  </from>
                  <to>
                    <xdr:col>5</xdr:col>
                    <xdr:colOff>171450</xdr:colOff>
                    <xdr:row>41</xdr:row>
                    <xdr:rowOff>9525</xdr:rowOff>
                  </to>
                </anchor>
              </controlPr>
            </control>
          </mc:Choice>
        </mc:AlternateContent>
        <mc:AlternateContent xmlns:mc="http://schemas.openxmlformats.org/markup-compatibility/2006">
          <mc:Choice Requires="x14">
            <control shapeId="10410" r:id="rId233" name="Option Button 170">
              <controlPr defaultSize="0" autoFill="0" autoLine="0" autoPict="0">
                <anchor moveWithCells="1">
                  <from>
                    <xdr:col>5</xdr:col>
                    <xdr:colOff>628650</xdr:colOff>
                    <xdr:row>39</xdr:row>
                    <xdr:rowOff>171450</xdr:rowOff>
                  </from>
                  <to>
                    <xdr:col>6</xdr:col>
                    <xdr:colOff>219075</xdr:colOff>
                    <xdr:row>41</xdr:row>
                    <xdr:rowOff>9525</xdr:rowOff>
                  </to>
                </anchor>
              </controlPr>
            </control>
          </mc:Choice>
        </mc:AlternateContent>
        <mc:AlternateContent xmlns:mc="http://schemas.openxmlformats.org/markup-compatibility/2006">
          <mc:Choice Requires="x14">
            <control shapeId="10412" r:id="rId234" name="Check Box 172">
              <controlPr defaultSize="0" autoFill="0" autoLine="0" autoPict="0">
                <anchor moveWithCells="1">
                  <from>
                    <xdr:col>4</xdr:col>
                    <xdr:colOff>638175</xdr:colOff>
                    <xdr:row>159</xdr:row>
                    <xdr:rowOff>190500</xdr:rowOff>
                  </from>
                  <to>
                    <xdr:col>5</xdr:col>
                    <xdr:colOff>180975</xdr:colOff>
                    <xdr:row>161</xdr:row>
                    <xdr:rowOff>28575</xdr:rowOff>
                  </to>
                </anchor>
              </controlPr>
            </control>
          </mc:Choice>
        </mc:AlternateContent>
        <mc:AlternateContent xmlns:mc="http://schemas.openxmlformats.org/markup-compatibility/2006">
          <mc:Choice Requires="x14">
            <control shapeId="10413" r:id="rId235" name="Option Button 173">
              <controlPr defaultSize="0" autoFill="0" autoLine="0" autoPict="0">
                <anchor moveWithCells="1">
                  <from>
                    <xdr:col>7</xdr:col>
                    <xdr:colOff>104775</xdr:colOff>
                    <xdr:row>39</xdr:row>
                    <xdr:rowOff>180975</xdr:rowOff>
                  </from>
                  <to>
                    <xdr:col>7</xdr:col>
                    <xdr:colOff>342900</xdr:colOff>
                    <xdr:row>41</xdr:row>
                    <xdr:rowOff>19050</xdr:rowOff>
                  </to>
                </anchor>
              </controlPr>
            </control>
          </mc:Choice>
        </mc:AlternateContent>
        <mc:AlternateContent xmlns:mc="http://schemas.openxmlformats.org/markup-compatibility/2006">
          <mc:Choice Requires="x14">
            <control shapeId="10417" r:id="rId236" name="Option Button 177">
              <controlPr defaultSize="0" autoFill="0" autoLine="0" autoPict="0">
                <anchor moveWithCells="1">
                  <from>
                    <xdr:col>0</xdr:col>
                    <xdr:colOff>590550</xdr:colOff>
                    <xdr:row>19</xdr:row>
                    <xdr:rowOff>0</xdr:rowOff>
                  </from>
                  <to>
                    <xdr:col>0</xdr:col>
                    <xdr:colOff>819150</xdr:colOff>
                    <xdr:row>20</xdr:row>
                    <xdr:rowOff>28575</xdr:rowOff>
                  </to>
                </anchor>
              </controlPr>
            </control>
          </mc:Choice>
        </mc:AlternateContent>
        <mc:AlternateContent xmlns:mc="http://schemas.openxmlformats.org/markup-compatibility/2006">
          <mc:Choice Requires="x14">
            <control shapeId="10427" r:id="rId237" name="Option Button 187">
              <controlPr defaultSize="0" autoFill="0" autoLine="0" autoPict="0">
                <anchor moveWithCells="1">
                  <from>
                    <xdr:col>0</xdr:col>
                    <xdr:colOff>600075</xdr:colOff>
                    <xdr:row>35</xdr:row>
                    <xdr:rowOff>171450</xdr:rowOff>
                  </from>
                  <to>
                    <xdr:col>0</xdr:col>
                    <xdr:colOff>790575</xdr:colOff>
                    <xdr:row>37</xdr:row>
                    <xdr:rowOff>0</xdr:rowOff>
                  </to>
                </anchor>
              </controlPr>
            </control>
          </mc:Choice>
        </mc:AlternateContent>
        <mc:AlternateContent xmlns:mc="http://schemas.openxmlformats.org/markup-compatibility/2006">
          <mc:Choice Requires="x14">
            <control shapeId="10428" r:id="rId238" name="Option Button 188">
              <controlPr defaultSize="0" autoFill="0" autoLine="0" autoPict="0">
                <anchor moveWithCells="1">
                  <from>
                    <xdr:col>0</xdr:col>
                    <xdr:colOff>609600</xdr:colOff>
                    <xdr:row>40</xdr:row>
                    <xdr:rowOff>171450</xdr:rowOff>
                  </from>
                  <to>
                    <xdr:col>1</xdr:col>
                    <xdr:colOff>9525</xdr:colOff>
                    <xdr:row>42</xdr:row>
                    <xdr:rowOff>9525</xdr:rowOff>
                  </to>
                </anchor>
              </controlPr>
            </control>
          </mc:Choice>
        </mc:AlternateContent>
        <mc:AlternateContent xmlns:mc="http://schemas.openxmlformats.org/markup-compatibility/2006">
          <mc:Choice Requires="x14">
            <control shapeId="10429" r:id="rId239" name="Option Button 189">
              <controlPr defaultSize="0" autoFill="0" autoLine="0" autoPict="0">
                <anchor moveWithCells="1">
                  <from>
                    <xdr:col>0</xdr:col>
                    <xdr:colOff>619125</xdr:colOff>
                    <xdr:row>44</xdr:row>
                    <xdr:rowOff>171450</xdr:rowOff>
                  </from>
                  <to>
                    <xdr:col>1</xdr:col>
                    <xdr:colOff>9525</xdr:colOff>
                    <xdr:row>46</xdr:row>
                    <xdr:rowOff>19050</xdr:rowOff>
                  </to>
                </anchor>
              </controlPr>
            </control>
          </mc:Choice>
        </mc:AlternateContent>
        <mc:AlternateContent xmlns:mc="http://schemas.openxmlformats.org/markup-compatibility/2006">
          <mc:Choice Requires="x14">
            <control shapeId="10430" r:id="rId240" name="Option Button 190">
              <controlPr defaultSize="0" autoFill="0" autoLine="0" autoPict="0">
                <anchor moveWithCells="1">
                  <from>
                    <xdr:col>0</xdr:col>
                    <xdr:colOff>609600</xdr:colOff>
                    <xdr:row>47</xdr:row>
                    <xdr:rowOff>152400</xdr:rowOff>
                  </from>
                  <to>
                    <xdr:col>0</xdr:col>
                    <xdr:colOff>828675</xdr:colOff>
                    <xdr:row>49</xdr:row>
                    <xdr:rowOff>0</xdr:rowOff>
                  </to>
                </anchor>
              </controlPr>
            </control>
          </mc:Choice>
        </mc:AlternateContent>
        <mc:AlternateContent xmlns:mc="http://schemas.openxmlformats.org/markup-compatibility/2006">
          <mc:Choice Requires="x14">
            <control shapeId="10434" r:id="rId241" name="Option Button 194">
              <controlPr defaultSize="0" autoFill="0" autoLine="0" autoPict="0">
                <anchor moveWithCells="1">
                  <from>
                    <xdr:col>0</xdr:col>
                    <xdr:colOff>619125</xdr:colOff>
                    <xdr:row>52</xdr:row>
                    <xdr:rowOff>190500</xdr:rowOff>
                  </from>
                  <to>
                    <xdr:col>1</xdr:col>
                    <xdr:colOff>0</xdr:colOff>
                    <xdr:row>54</xdr:row>
                    <xdr:rowOff>28575</xdr:rowOff>
                  </to>
                </anchor>
              </controlPr>
            </control>
          </mc:Choice>
        </mc:AlternateContent>
        <mc:AlternateContent xmlns:mc="http://schemas.openxmlformats.org/markup-compatibility/2006">
          <mc:Choice Requires="x14">
            <control shapeId="10435" r:id="rId242" name="Option Button 195">
              <controlPr defaultSize="0" autoFill="0" autoLine="0" autoPict="0">
                <anchor moveWithCells="1">
                  <from>
                    <xdr:col>0</xdr:col>
                    <xdr:colOff>609600</xdr:colOff>
                    <xdr:row>59</xdr:row>
                    <xdr:rowOff>180975</xdr:rowOff>
                  </from>
                  <to>
                    <xdr:col>1</xdr:col>
                    <xdr:colOff>19050</xdr:colOff>
                    <xdr:row>61</xdr:row>
                    <xdr:rowOff>19050</xdr:rowOff>
                  </to>
                </anchor>
              </controlPr>
            </control>
          </mc:Choice>
        </mc:AlternateContent>
        <mc:AlternateContent xmlns:mc="http://schemas.openxmlformats.org/markup-compatibility/2006">
          <mc:Choice Requires="x14">
            <control shapeId="10436" r:id="rId243" name="Option Button 196">
              <controlPr defaultSize="0" autoFill="0" autoLine="0" autoPict="0">
                <anchor moveWithCells="1">
                  <from>
                    <xdr:col>0</xdr:col>
                    <xdr:colOff>619125</xdr:colOff>
                    <xdr:row>61</xdr:row>
                    <xdr:rowOff>133350</xdr:rowOff>
                  </from>
                  <to>
                    <xdr:col>1</xdr:col>
                    <xdr:colOff>28575</xdr:colOff>
                    <xdr:row>62</xdr:row>
                    <xdr:rowOff>161925</xdr:rowOff>
                  </to>
                </anchor>
              </controlPr>
            </control>
          </mc:Choice>
        </mc:AlternateContent>
        <mc:AlternateContent xmlns:mc="http://schemas.openxmlformats.org/markup-compatibility/2006">
          <mc:Choice Requires="x14">
            <control shapeId="10438" r:id="rId244" name="Option Button 198">
              <controlPr defaultSize="0" autoFill="0" autoLine="0" autoPict="0">
                <anchor moveWithCells="1">
                  <from>
                    <xdr:col>0</xdr:col>
                    <xdr:colOff>609600</xdr:colOff>
                    <xdr:row>66</xdr:row>
                    <xdr:rowOff>0</xdr:rowOff>
                  </from>
                  <to>
                    <xdr:col>1</xdr:col>
                    <xdr:colOff>9525</xdr:colOff>
                    <xdr:row>67</xdr:row>
                    <xdr:rowOff>38100</xdr:rowOff>
                  </to>
                </anchor>
              </controlPr>
            </control>
          </mc:Choice>
        </mc:AlternateContent>
        <mc:AlternateContent xmlns:mc="http://schemas.openxmlformats.org/markup-compatibility/2006">
          <mc:Choice Requires="x14">
            <control shapeId="10439" r:id="rId245" name="Option Button 199">
              <controlPr defaultSize="0" autoFill="0" autoLine="0" autoPict="0">
                <anchor moveWithCells="1">
                  <from>
                    <xdr:col>0</xdr:col>
                    <xdr:colOff>609600</xdr:colOff>
                    <xdr:row>68</xdr:row>
                    <xdr:rowOff>0</xdr:rowOff>
                  </from>
                  <to>
                    <xdr:col>1</xdr:col>
                    <xdr:colOff>9525</xdr:colOff>
                    <xdr:row>69</xdr:row>
                    <xdr:rowOff>28575</xdr:rowOff>
                  </to>
                </anchor>
              </controlPr>
            </control>
          </mc:Choice>
        </mc:AlternateContent>
        <mc:AlternateContent xmlns:mc="http://schemas.openxmlformats.org/markup-compatibility/2006">
          <mc:Choice Requires="x14">
            <control shapeId="10442" r:id="rId246" name="Option Button 202">
              <controlPr defaultSize="0" autoFill="0" autoLine="0" autoPict="0">
                <anchor moveWithCells="1">
                  <from>
                    <xdr:col>0</xdr:col>
                    <xdr:colOff>571500</xdr:colOff>
                    <xdr:row>75</xdr:row>
                    <xdr:rowOff>180975</xdr:rowOff>
                  </from>
                  <to>
                    <xdr:col>0</xdr:col>
                    <xdr:colOff>800100</xdr:colOff>
                    <xdr:row>77</xdr:row>
                    <xdr:rowOff>19050</xdr:rowOff>
                  </to>
                </anchor>
              </controlPr>
            </control>
          </mc:Choice>
        </mc:AlternateContent>
        <mc:AlternateContent xmlns:mc="http://schemas.openxmlformats.org/markup-compatibility/2006">
          <mc:Choice Requires="x14">
            <control shapeId="10443" r:id="rId247" name="Option Button 203">
              <controlPr defaultSize="0" autoFill="0" autoLine="0" autoPict="0">
                <anchor moveWithCells="1">
                  <from>
                    <xdr:col>0</xdr:col>
                    <xdr:colOff>581025</xdr:colOff>
                    <xdr:row>81</xdr:row>
                    <xdr:rowOff>171450</xdr:rowOff>
                  </from>
                  <to>
                    <xdr:col>0</xdr:col>
                    <xdr:colOff>800100</xdr:colOff>
                    <xdr:row>83</xdr:row>
                    <xdr:rowOff>38100</xdr:rowOff>
                  </to>
                </anchor>
              </controlPr>
            </control>
          </mc:Choice>
        </mc:AlternateContent>
        <mc:AlternateContent xmlns:mc="http://schemas.openxmlformats.org/markup-compatibility/2006">
          <mc:Choice Requires="x14">
            <control shapeId="10444" r:id="rId248" name="Option Button 204">
              <controlPr defaultSize="0" autoFill="0" autoLine="0" autoPict="0">
                <anchor moveWithCells="1">
                  <from>
                    <xdr:col>0</xdr:col>
                    <xdr:colOff>590550</xdr:colOff>
                    <xdr:row>84</xdr:row>
                    <xdr:rowOff>190500</xdr:rowOff>
                  </from>
                  <to>
                    <xdr:col>0</xdr:col>
                    <xdr:colOff>809625</xdr:colOff>
                    <xdr:row>86</xdr:row>
                    <xdr:rowOff>28575</xdr:rowOff>
                  </to>
                </anchor>
              </controlPr>
            </control>
          </mc:Choice>
        </mc:AlternateContent>
        <mc:AlternateContent xmlns:mc="http://schemas.openxmlformats.org/markup-compatibility/2006">
          <mc:Choice Requires="x14">
            <control shapeId="10445" r:id="rId249" name="Option Button 205">
              <controlPr defaultSize="0" autoFill="0" autoLine="0" autoPict="0">
                <anchor moveWithCells="1">
                  <from>
                    <xdr:col>0</xdr:col>
                    <xdr:colOff>609600</xdr:colOff>
                    <xdr:row>99</xdr:row>
                    <xdr:rowOff>152400</xdr:rowOff>
                  </from>
                  <to>
                    <xdr:col>0</xdr:col>
                    <xdr:colOff>819150</xdr:colOff>
                    <xdr:row>101</xdr:row>
                    <xdr:rowOff>0</xdr:rowOff>
                  </to>
                </anchor>
              </controlPr>
            </control>
          </mc:Choice>
        </mc:AlternateContent>
        <mc:AlternateContent xmlns:mc="http://schemas.openxmlformats.org/markup-compatibility/2006">
          <mc:Choice Requires="x14">
            <control shapeId="10446" r:id="rId250" name="Option Button 206">
              <controlPr defaultSize="0" autoFill="0" autoLine="0" autoPict="0">
                <anchor moveWithCells="1">
                  <from>
                    <xdr:col>0</xdr:col>
                    <xdr:colOff>581025</xdr:colOff>
                    <xdr:row>104</xdr:row>
                    <xdr:rowOff>0</xdr:rowOff>
                  </from>
                  <to>
                    <xdr:col>0</xdr:col>
                    <xdr:colOff>781050</xdr:colOff>
                    <xdr:row>105</xdr:row>
                    <xdr:rowOff>28575</xdr:rowOff>
                  </to>
                </anchor>
              </controlPr>
            </control>
          </mc:Choice>
        </mc:AlternateContent>
        <mc:AlternateContent xmlns:mc="http://schemas.openxmlformats.org/markup-compatibility/2006">
          <mc:Choice Requires="x14">
            <control shapeId="10447" r:id="rId251" name="Option Button 207">
              <controlPr defaultSize="0" autoFill="0" autoLine="0" autoPict="0">
                <anchor moveWithCells="1">
                  <from>
                    <xdr:col>0</xdr:col>
                    <xdr:colOff>571500</xdr:colOff>
                    <xdr:row>107</xdr:row>
                    <xdr:rowOff>180975</xdr:rowOff>
                  </from>
                  <to>
                    <xdr:col>0</xdr:col>
                    <xdr:colOff>771525</xdr:colOff>
                    <xdr:row>109</xdr:row>
                    <xdr:rowOff>19050</xdr:rowOff>
                  </to>
                </anchor>
              </controlPr>
            </control>
          </mc:Choice>
        </mc:AlternateContent>
        <mc:AlternateContent xmlns:mc="http://schemas.openxmlformats.org/markup-compatibility/2006">
          <mc:Choice Requires="x14">
            <control shapeId="10448" r:id="rId252" name="Option Button 208">
              <controlPr defaultSize="0" autoFill="0" autoLine="0" autoPict="0">
                <anchor moveWithCells="1">
                  <from>
                    <xdr:col>0</xdr:col>
                    <xdr:colOff>542925</xdr:colOff>
                    <xdr:row>113</xdr:row>
                    <xdr:rowOff>161925</xdr:rowOff>
                  </from>
                  <to>
                    <xdr:col>0</xdr:col>
                    <xdr:colOff>771525</xdr:colOff>
                    <xdr:row>114</xdr:row>
                    <xdr:rowOff>171450</xdr:rowOff>
                  </to>
                </anchor>
              </controlPr>
            </control>
          </mc:Choice>
        </mc:AlternateContent>
        <mc:AlternateContent xmlns:mc="http://schemas.openxmlformats.org/markup-compatibility/2006">
          <mc:Choice Requires="x14">
            <control shapeId="10449" r:id="rId253" name="Option Button 209">
              <controlPr defaultSize="0" autoFill="0" autoLine="0" autoPict="0">
                <anchor moveWithCells="1">
                  <from>
                    <xdr:col>0</xdr:col>
                    <xdr:colOff>561975</xdr:colOff>
                    <xdr:row>117</xdr:row>
                    <xdr:rowOff>171450</xdr:rowOff>
                  </from>
                  <to>
                    <xdr:col>0</xdr:col>
                    <xdr:colOff>790575</xdr:colOff>
                    <xdr:row>119</xdr:row>
                    <xdr:rowOff>0</xdr:rowOff>
                  </to>
                </anchor>
              </controlPr>
            </control>
          </mc:Choice>
        </mc:AlternateContent>
        <mc:AlternateContent xmlns:mc="http://schemas.openxmlformats.org/markup-compatibility/2006">
          <mc:Choice Requires="x14">
            <control shapeId="10450" r:id="rId254" name="Option Button 210">
              <controlPr defaultSize="0" autoFill="0" autoLine="0" autoPict="0">
                <anchor moveWithCells="1">
                  <from>
                    <xdr:col>0</xdr:col>
                    <xdr:colOff>552450</xdr:colOff>
                    <xdr:row>120</xdr:row>
                    <xdr:rowOff>190500</xdr:rowOff>
                  </from>
                  <to>
                    <xdr:col>0</xdr:col>
                    <xdr:colOff>762000</xdr:colOff>
                    <xdr:row>122</xdr:row>
                    <xdr:rowOff>19050</xdr:rowOff>
                  </to>
                </anchor>
              </controlPr>
            </control>
          </mc:Choice>
        </mc:AlternateContent>
        <mc:AlternateContent xmlns:mc="http://schemas.openxmlformats.org/markup-compatibility/2006">
          <mc:Choice Requires="x14">
            <control shapeId="10451" r:id="rId255" name="Option Button 211">
              <controlPr defaultSize="0" autoFill="0" autoLine="0" autoPict="0">
                <anchor moveWithCells="1">
                  <from>
                    <xdr:col>0</xdr:col>
                    <xdr:colOff>542925</xdr:colOff>
                    <xdr:row>122</xdr:row>
                    <xdr:rowOff>171450</xdr:rowOff>
                  </from>
                  <to>
                    <xdr:col>0</xdr:col>
                    <xdr:colOff>752475</xdr:colOff>
                    <xdr:row>124</xdr:row>
                    <xdr:rowOff>9525</xdr:rowOff>
                  </to>
                </anchor>
              </controlPr>
            </control>
          </mc:Choice>
        </mc:AlternateContent>
        <mc:AlternateContent xmlns:mc="http://schemas.openxmlformats.org/markup-compatibility/2006">
          <mc:Choice Requires="x14">
            <control shapeId="10452" r:id="rId256" name="Option Button 212">
              <controlPr defaultSize="0" autoFill="0" autoLine="0" autoPict="0">
                <anchor moveWithCells="1">
                  <from>
                    <xdr:col>0</xdr:col>
                    <xdr:colOff>542925</xdr:colOff>
                    <xdr:row>125</xdr:row>
                    <xdr:rowOff>152400</xdr:rowOff>
                  </from>
                  <to>
                    <xdr:col>0</xdr:col>
                    <xdr:colOff>752475</xdr:colOff>
                    <xdr:row>126</xdr:row>
                    <xdr:rowOff>180975</xdr:rowOff>
                  </to>
                </anchor>
              </controlPr>
            </control>
          </mc:Choice>
        </mc:AlternateContent>
        <mc:AlternateContent xmlns:mc="http://schemas.openxmlformats.org/markup-compatibility/2006">
          <mc:Choice Requires="x14">
            <control shapeId="10453" r:id="rId257" name="Check Box 213">
              <controlPr defaultSize="0" autoFill="0" autoLine="0" autoPict="0">
                <anchor moveWithCells="1">
                  <from>
                    <xdr:col>0</xdr:col>
                    <xdr:colOff>581025</xdr:colOff>
                    <xdr:row>140</xdr:row>
                    <xdr:rowOff>9525</xdr:rowOff>
                  </from>
                  <to>
                    <xdr:col>0</xdr:col>
                    <xdr:colOff>819150</xdr:colOff>
                    <xdr:row>141</xdr:row>
                    <xdr:rowOff>38100</xdr:rowOff>
                  </to>
                </anchor>
              </controlPr>
            </control>
          </mc:Choice>
        </mc:AlternateContent>
        <mc:AlternateContent xmlns:mc="http://schemas.openxmlformats.org/markup-compatibility/2006">
          <mc:Choice Requires="x14">
            <control shapeId="10454" r:id="rId258" name="Check Box 214">
              <controlPr defaultSize="0" autoFill="0" autoLine="0" autoPict="0">
                <anchor moveWithCells="1">
                  <from>
                    <xdr:col>0</xdr:col>
                    <xdr:colOff>590550</xdr:colOff>
                    <xdr:row>142</xdr:row>
                    <xdr:rowOff>9525</xdr:rowOff>
                  </from>
                  <to>
                    <xdr:col>0</xdr:col>
                    <xdr:colOff>809625</xdr:colOff>
                    <xdr:row>143</xdr:row>
                    <xdr:rowOff>38100</xdr:rowOff>
                  </to>
                </anchor>
              </controlPr>
            </control>
          </mc:Choice>
        </mc:AlternateContent>
        <mc:AlternateContent xmlns:mc="http://schemas.openxmlformats.org/markup-compatibility/2006">
          <mc:Choice Requires="x14">
            <control shapeId="10455" r:id="rId259" name="Check Box 215">
              <controlPr defaultSize="0" autoFill="0" autoLine="0" autoPict="0" altText="">
                <anchor moveWithCells="1">
                  <from>
                    <xdr:col>0</xdr:col>
                    <xdr:colOff>581025</xdr:colOff>
                    <xdr:row>143</xdr:row>
                    <xdr:rowOff>190500</xdr:rowOff>
                  </from>
                  <to>
                    <xdr:col>0</xdr:col>
                    <xdr:colOff>800100</xdr:colOff>
                    <xdr:row>145</xdr:row>
                    <xdr:rowOff>28575</xdr:rowOff>
                  </to>
                </anchor>
              </controlPr>
            </control>
          </mc:Choice>
        </mc:AlternateContent>
        <mc:AlternateContent xmlns:mc="http://schemas.openxmlformats.org/markup-compatibility/2006">
          <mc:Choice Requires="x14">
            <control shapeId="10456" r:id="rId260" name="Check Box 216">
              <controlPr defaultSize="0" autoFill="0" autoLine="0" autoPict="0">
                <anchor moveWithCells="1">
                  <from>
                    <xdr:col>0</xdr:col>
                    <xdr:colOff>581025</xdr:colOff>
                    <xdr:row>148</xdr:row>
                    <xdr:rowOff>9525</xdr:rowOff>
                  </from>
                  <to>
                    <xdr:col>0</xdr:col>
                    <xdr:colOff>809625</xdr:colOff>
                    <xdr:row>149</xdr:row>
                    <xdr:rowOff>38100</xdr:rowOff>
                  </to>
                </anchor>
              </controlPr>
            </control>
          </mc:Choice>
        </mc:AlternateContent>
        <mc:AlternateContent xmlns:mc="http://schemas.openxmlformats.org/markup-compatibility/2006">
          <mc:Choice Requires="x14">
            <control shapeId="10458" r:id="rId261" name="Option Button 218">
              <controlPr defaultSize="0" autoFill="0" autoLine="0" autoPict="0">
                <anchor moveWithCells="1">
                  <from>
                    <xdr:col>4</xdr:col>
                    <xdr:colOff>66675</xdr:colOff>
                    <xdr:row>23</xdr:row>
                    <xdr:rowOff>9525</xdr:rowOff>
                  </from>
                  <to>
                    <xdr:col>4</xdr:col>
                    <xdr:colOff>276225</xdr:colOff>
                    <xdr:row>23</xdr:row>
                    <xdr:rowOff>180975</xdr:rowOff>
                  </to>
                </anchor>
              </controlPr>
            </control>
          </mc:Choice>
        </mc:AlternateContent>
        <mc:AlternateContent xmlns:mc="http://schemas.openxmlformats.org/markup-compatibility/2006">
          <mc:Choice Requires="x14">
            <control shapeId="10460" r:id="rId262" name="Option Button 220">
              <controlPr defaultSize="0" autoFill="0" autoLine="0" autoPict="0">
                <anchor moveWithCells="1">
                  <from>
                    <xdr:col>3</xdr:col>
                    <xdr:colOff>571500</xdr:colOff>
                    <xdr:row>67</xdr:row>
                    <xdr:rowOff>180975</xdr:rowOff>
                  </from>
                  <to>
                    <xdr:col>4</xdr:col>
                    <xdr:colOff>161925</xdr:colOff>
                    <xdr:row>69</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5B7C532D-7156-430E-B62C-F12059882125}">
          <x14:formula1>
            <xm:f>Weights!$E$156:$E$161</xm:f>
          </x14:formula1>
          <xm:sqref>C149:E149</xm:sqref>
        </x14:dataValidation>
        <x14:dataValidation type="list" allowBlank="1" showInputMessage="1" showErrorMessage="1" xr:uid="{0EF32542-F4A6-4DC3-A34F-78D3BD5248CB}">
          <x14:formula1>
            <xm:f>Weights!$B$156:$B$161</xm:f>
          </x14:formula1>
          <xm:sqref>J63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F5D20-95C5-456E-B65F-E750743D4C61}">
  <sheetPr codeName="Sheet8"/>
  <dimension ref="A1:G4258"/>
  <sheetViews>
    <sheetView showGridLines="0" topLeftCell="A454" workbookViewId="0">
      <selection activeCell="E484" sqref="E484"/>
    </sheetView>
  </sheetViews>
  <sheetFormatPr defaultRowHeight="15.75" x14ac:dyDescent="0.25"/>
  <cols>
    <col min="1" max="1" width="15.140625" style="634" bestFit="1" customWidth="1"/>
    <col min="2" max="2" width="39.140625" style="632" bestFit="1" customWidth="1"/>
    <col min="3" max="3" width="10.140625" style="632" bestFit="1" customWidth="1"/>
  </cols>
  <sheetData>
    <row r="1" spans="1:3" x14ac:dyDescent="0.25">
      <c r="A1" s="635" t="s">
        <v>387</v>
      </c>
      <c r="B1" s="630" t="s">
        <v>388</v>
      </c>
      <c r="C1" s="630" t="s">
        <v>389</v>
      </c>
    </row>
    <row r="2" spans="1:3" x14ac:dyDescent="0.25">
      <c r="A2" s="631">
        <v>1000005</v>
      </c>
      <c r="B2" s="632" t="s">
        <v>390</v>
      </c>
      <c r="C2" s="632">
        <v>59</v>
      </c>
    </row>
    <row r="3" spans="1:3" x14ac:dyDescent="0.25">
      <c r="A3" s="631">
        <v>3302336</v>
      </c>
      <c r="C3" s="632">
        <v>1234</v>
      </c>
    </row>
    <row r="4" spans="1:3" x14ac:dyDescent="0.25">
      <c r="A4" s="631" t="s">
        <v>391</v>
      </c>
      <c r="B4" s="632" t="s">
        <v>390</v>
      </c>
      <c r="C4" s="632">
        <v>59</v>
      </c>
    </row>
    <row r="5" spans="1:3" x14ac:dyDescent="0.25">
      <c r="A5" s="631">
        <v>1000006</v>
      </c>
      <c r="B5" s="632" t="s">
        <v>392</v>
      </c>
      <c r="C5" s="632">
        <v>22</v>
      </c>
    </row>
    <row r="6" spans="1:3" x14ac:dyDescent="0.25">
      <c r="A6" s="631">
        <v>1000007</v>
      </c>
      <c r="B6" s="632" t="s">
        <v>393</v>
      </c>
      <c r="C6" s="632">
        <v>22</v>
      </c>
    </row>
    <row r="7" spans="1:3" x14ac:dyDescent="0.25">
      <c r="A7" s="631">
        <v>1000008</v>
      </c>
      <c r="B7" s="632" t="s">
        <v>394</v>
      </c>
      <c r="C7" s="632">
        <v>66</v>
      </c>
    </row>
    <row r="8" spans="1:3" x14ac:dyDescent="0.25">
      <c r="A8" s="631">
        <v>1000009</v>
      </c>
      <c r="B8" s="632" t="s">
        <v>395</v>
      </c>
      <c r="C8" s="632">
        <v>22</v>
      </c>
    </row>
    <row r="9" spans="1:3" x14ac:dyDescent="0.25">
      <c r="A9" s="631">
        <v>1000010</v>
      </c>
      <c r="B9" s="632" t="s">
        <v>396</v>
      </c>
      <c r="C9" s="632">
        <v>124</v>
      </c>
    </row>
    <row r="10" spans="1:3" x14ac:dyDescent="0.25">
      <c r="A10" s="631">
        <v>1000012</v>
      </c>
      <c r="B10" s="632" t="s">
        <v>397</v>
      </c>
      <c r="C10" s="632">
        <v>36</v>
      </c>
    </row>
    <row r="11" spans="1:3" x14ac:dyDescent="0.25">
      <c r="A11" s="631">
        <v>1000015</v>
      </c>
      <c r="B11" s="632" t="s">
        <v>398</v>
      </c>
      <c r="C11" s="632">
        <v>81</v>
      </c>
    </row>
    <row r="12" spans="1:3" x14ac:dyDescent="0.25">
      <c r="A12" s="631">
        <v>1000018</v>
      </c>
      <c r="B12" s="632" t="s">
        <v>399</v>
      </c>
      <c r="C12" s="632">
        <v>2693</v>
      </c>
    </row>
    <row r="13" spans="1:3" x14ac:dyDescent="0.25">
      <c r="A13" s="631">
        <v>1000020</v>
      </c>
      <c r="B13" s="632" t="s">
        <v>400</v>
      </c>
      <c r="C13" s="632">
        <v>15</v>
      </c>
    </row>
    <row r="14" spans="1:3" x14ac:dyDescent="0.25">
      <c r="A14" s="631">
        <v>1000021</v>
      </c>
      <c r="B14" s="632" t="s">
        <v>401</v>
      </c>
      <c r="C14" s="632">
        <v>15</v>
      </c>
    </row>
    <row r="15" spans="1:3" x14ac:dyDescent="0.25">
      <c r="A15" s="631">
        <v>1000023</v>
      </c>
      <c r="B15" s="632" t="s">
        <v>402</v>
      </c>
      <c r="C15" s="632">
        <v>96</v>
      </c>
    </row>
    <row r="16" spans="1:3" x14ac:dyDescent="0.25">
      <c r="A16" s="631" t="s">
        <v>403</v>
      </c>
      <c r="B16" s="632" t="s">
        <v>402</v>
      </c>
      <c r="C16" s="632">
        <v>96</v>
      </c>
    </row>
    <row r="17" spans="1:3" x14ac:dyDescent="0.25">
      <c r="A17" s="631">
        <v>1000024</v>
      </c>
      <c r="B17" s="632" t="s">
        <v>404</v>
      </c>
      <c r="C17" s="632">
        <v>78</v>
      </c>
    </row>
    <row r="18" spans="1:3" x14ac:dyDescent="0.25">
      <c r="A18" s="631">
        <v>1000025</v>
      </c>
      <c r="B18" s="632" t="s">
        <v>405</v>
      </c>
      <c r="C18" s="632">
        <v>96</v>
      </c>
    </row>
    <row r="19" spans="1:3" x14ac:dyDescent="0.25">
      <c r="A19" s="631">
        <v>1000026</v>
      </c>
      <c r="B19" s="632" t="s">
        <v>406</v>
      </c>
      <c r="C19" s="632">
        <v>33</v>
      </c>
    </row>
    <row r="20" spans="1:3" x14ac:dyDescent="0.25">
      <c r="A20" s="631">
        <v>1000027</v>
      </c>
      <c r="B20" s="632" t="s">
        <v>407</v>
      </c>
      <c r="C20" s="632">
        <v>78</v>
      </c>
    </row>
    <row r="21" spans="1:3" x14ac:dyDescent="0.25">
      <c r="A21" s="631">
        <v>1000028</v>
      </c>
      <c r="B21" s="632" t="s">
        <v>408</v>
      </c>
      <c r="C21" s="632">
        <v>66</v>
      </c>
    </row>
    <row r="22" spans="1:3" x14ac:dyDescent="0.25">
      <c r="A22" s="631">
        <v>1000029</v>
      </c>
      <c r="B22" s="632" t="s">
        <v>409</v>
      </c>
      <c r="C22" s="632">
        <v>22</v>
      </c>
    </row>
    <row r="23" spans="1:3" x14ac:dyDescent="0.25">
      <c r="A23" s="631" t="s">
        <v>410</v>
      </c>
      <c r="B23" s="632" t="s">
        <v>411</v>
      </c>
      <c r="C23" s="632">
        <v>22</v>
      </c>
    </row>
    <row r="24" spans="1:3" x14ac:dyDescent="0.25">
      <c r="A24" s="631" t="s">
        <v>412</v>
      </c>
      <c r="B24" s="632" t="s">
        <v>413</v>
      </c>
      <c r="C24" s="632">
        <v>22</v>
      </c>
    </row>
    <row r="25" spans="1:3" x14ac:dyDescent="0.25">
      <c r="A25" s="631">
        <v>1000030</v>
      </c>
      <c r="B25" s="632" t="s">
        <v>4172</v>
      </c>
      <c r="C25" s="632">
        <v>815</v>
      </c>
    </row>
    <row r="26" spans="1:3" x14ac:dyDescent="0.25">
      <c r="A26" s="631">
        <v>1000031</v>
      </c>
      <c r="B26" s="632" t="s">
        <v>414</v>
      </c>
      <c r="C26" s="632">
        <v>47</v>
      </c>
    </row>
    <row r="27" spans="1:3" x14ac:dyDescent="0.25">
      <c r="A27" s="631">
        <v>1000036</v>
      </c>
      <c r="B27" s="632" t="s">
        <v>415</v>
      </c>
      <c r="C27" s="632">
        <v>329</v>
      </c>
    </row>
    <row r="28" spans="1:3" x14ac:dyDescent="0.25">
      <c r="A28" s="631">
        <v>1000038</v>
      </c>
      <c r="B28" s="632" t="s">
        <v>416</v>
      </c>
      <c r="C28" s="632">
        <v>329</v>
      </c>
    </row>
    <row r="29" spans="1:3" x14ac:dyDescent="0.25">
      <c r="A29" s="631">
        <v>1000039</v>
      </c>
      <c r="B29" s="632" t="s">
        <v>417</v>
      </c>
      <c r="C29" s="632">
        <v>360</v>
      </c>
    </row>
    <row r="30" spans="1:3" x14ac:dyDescent="0.25">
      <c r="A30" s="631">
        <v>1000040</v>
      </c>
      <c r="B30" s="632" t="s">
        <v>418</v>
      </c>
      <c r="C30" s="632">
        <v>360</v>
      </c>
    </row>
    <row r="31" spans="1:3" x14ac:dyDescent="0.25">
      <c r="A31" s="631">
        <v>1000043</v>
      </c>
      <c r="B31" s="632" t="s">
        <v>419</v>
      </c>
      <c r="C31" s="632">
        <v>7</v>
      </c>
    </row>
    <row r="32" spans="1:3" x14ac:dyDescent="0.25">
      <c r="A32" s="631">
        <v>1000044</v>
      </c>
      <c r="B32" s="632" t="s">
        <v>420</v>
      </c>
      <c r="C32" s="632">
        <v>8</v>
      </c>
    </row>
    <row r="33" spans="1:3" x14ac:dyDescent="0.25">
      <c r="A33" s="631">
        <v>1000050</v>
      </c>
      <c r="B33" s="632" t="s">
        <v>421</v>
      </c>
      <c r="C33" s="632">
        <v>154</v>
      </c>
    </row>
    <row r="34" spans="1:3" x14ac:dyDescent="0.25">
      <c r="A34" s="631">
        <v>1000052</v>
      </c>
      <c r="B34" s="632" t="s">
        <v>422</v>
      </c>
      <c r="C34" s="632">
        <v>154</v>
      </c>
    </row>
    <row r="35" spans="1:3" x14ac:dyDescent="0.25">
      <c r="A35" s="631">
        <v>1000053</v>
      </c>
      <c r="B35" s="632" t="s">
        <v>423</v>
      </c>
      <c r="C35" s="632">
        <v>421</v>
      </c>
    </row>
    <row r="36" spans="1:3" x14ac:dyDescent="0.25">
      <c r="A36" s="631">
        <v>1000054</v>
      </c>
      <c r="B36" s="632" t="s">
        <v>424</v>
      </c>
      <c r="C36" s="632">
        <v>140</v>
      </c>
    </row>
    <row r="37" spans="1:3" x14ac:dyDescent="0.25">
      <c r="A37" s="631">
        <v>1000055</v>
      </c>
      <c r="B37" s="632" t="s">
        <v>425</v>
      </c>
      <c r="C37" s="632">
        <v>140</v>
      </c>
    </row>
    <row r="38" spans="1:3" x14ac:dyDescent="0.25">
      <c r="A38" s="631">
        <v>1000056</v>
      </c>
      <c r="B38" s="632" t="s">
        <v>426</v>
      </c>
      <c r="C38" s="632">
        <v>140</v>
      </c>
    </row>
    <row r="39" spans="1:3" x14ac:dyDescent="0.25">
      <c r="A39" s="631">
        <v>1000057</v>
      </c>
      <c r="B39" s="632" t="s">
        <v>427</v>
      </c>
      <c r="C39" s="632">
        <v>108</v>
      </c>
    </row>
    <row r="40" spans="1:3" x14ac:dyDescent="0.25">
      <c r="A40" s="631">
        <v>1000082</v>
      </c>
      <c r="B40" s="632" t="s">
        <v>428</v>
      </c>
      <c r="C40" s="632">
        <v>133</v>
      </c>
    </row>
    <row r="41" spans="1:3" x14ac:dyDescent="0.25">
      <c r="A41" s="631">
        <v>1000083</v>
      </c>
      <c r="B41" s="632" t="s">
        <v>429</v>
      </c>
      <c r="C41" s="632">
        <v>133</v>
      </c>
    </row>
    <row r="42" spans="1:3" x14ac:dyDescent="0.25">
      <c r="A42" s="631">
        <v>1000085</v>
      </c>
      <c r="B42" s="632" t="s">
        <v>430</v>
      </c>
      <c r="C42" s="632">
        <v>133</v>
      </c>
    </row>
    <row r="43" spans="1:3" x14ac:dyDescent="0.25">
      <c r="A43" s="631">
        <v>1000086</v>
      </c>
      <c r="B43" s="632" t="s">
        <v>431</v>
      </c>
      <c r="C43" s="632">
        <v>133</v>
      </c>
    </row>
    <row r="44" spans="1:3" x14ac:dyDescent="0.25">
      <c r="A44" s="631">
        <v>1000087</v>
      </c>
      <c r="B44" s="632" t="s">
        <v>432</v>
      </c>
      <c r="C44" s="632">
        <v>133</v>
      </c>
    </row>
    <row r="45" spans="1:3" x14ac:dyDescent="0.25">
      <c r="A45" s="631">
        <v>1000088</v>
      </c>
      <c r="B45" s="632" t="s">
        <v>433</v>
      </c>
      <c r="C45" s="632">
        <v>133</v>
      </c>
    </row>
    <row r="46" spans="1:3" x14ac:dyDescent="0.25">
      <c r="A46" s="631">
        <v>1000089</v>
      </c>
      <c r="B46" s="632" t="s">
        <v>434</v>
      </c>
      <c r="C46" s="632">
        <v>69</v>
      </c>
    </row>
    <row r="47" spans="1:3" x14ac:dyDescent="0.25">
      <c r="A47" s="631">
        <v>1000090</v>
      </c>
      <c r="B47" s="632" t="s">
        <v>435</v>
      </c>
      <c r="C47" s="632">
        <v>69</v>
      </c>
    </row>
    <row r="48" spans="1:3" x14ac:dyDescent="0.25">
      <c r="A48" s="631">
        <v>1000091</v>
      </c>
      <c r="B48" s="632" t="s">
        <v>436</v>
      </c>
      <c r="C48" s="632">
        <v>108</v>
      </c>
    </row>
    <row r="49" spans="1:3" x14ac:dyDescent="0.25">
      <c r="A49" s="631">
        <v>1000092</v>
      </c>
      <c r="B49" s="632" t="s">
        <v>437</v>
      </c>
      <c r="C49" s="632">
        <v>108</v>
      </c>
    </row>
    <row r="50" spans="1:3" x14ac:dyDescent="0.25">
      <c r="A50" s="631">
        <v>1000094</v>
      </c>
      <c r="B50" s="632" t="s">
        <v>438</v>
      </c>
      <c r="C50" s="632">
        <v>108</v>
      </c>
    </row>
    <row r="51" spans="1:3" x14ac:dyDescent="0.25">
      <c r="A51" s="631">
        <v>1000095</v>
      </c>
      <c r="B51" s="632" t="s">
        <v>439</v>
      </c>
      <c r="C51" s="632">
        <v>108</v>
      </c>
    </row>
    <row r="52" spans="1:3" x14ac:dyDescent="0.25">
      <c r="A52" s="631">
        <v>1000097</v>
      </c>
      <c r="B52" s="632" t="s">
        <v>440</v>
      </c>
      <c r="C52" s="632">
        <v>133</v>
      </c>
    </row>
    <row r="53" spans="1:3" x14ac:dyDescent="0.25">
      <c r="A53" s="631">
        <v>1000098</v>
      </c>
      <c r="B53" s="632" t="s">
        <v>441</v>
      </c>
      <c r="C53" s="632">
        <v>133</v>
      </c>
    </row>
    <row r="54" spans="1:3" x14ac:dyDescent="0.25">
      <c r="A54" s="631">
        <v>1000099</v>
      </c>
      <c r="B54" s="632" t="s">
        <v>442</v>
      </c>
      <c r="C54" s="632">
        <v>133</v>
      </c>
    </row>
    <row r="55" spans="1:3" x14ac:dyDescent="0.25">
      <c r="A55" s="631">
        <v>1000100</v>
      </c>
      <c r="B55" s="632" t="s">
        <v>443</v>
      </c>
      <c r="C55" s="632">
        <v>133</v>
      </c>
    </row>
    <row r="56" spans="1:3" x14ac:dyDescent="0.25">
      <c r="A56" s="631">
        <v>1000101</v>
      </c>
      <c r="B56" s="632" t="s">
        <v>444</v>
      </c>
      <c r="C56" s="632">
        <v>133</v>
      </c>
    </row>
    <row r="57" spans="1:3" x14ac:dyDescent="0.25">
      <c r="A57" s="631">
        <v>1000102</v>
      </c>
      <c r="B57" s="632" t="s">
        <v>445</v>
      </c>
      <c r="C57" s="632">
        <v>133</v>
      </c>
    </row>
    <row r="58" spans="1:3" x14ac:dyDescent="0.25">
      <c r="A58" s="631">
        <v>1000103</v>
      </c>
      <c r="B58" s="632" t="s">
        <v>446</v>
      </c>
      <c r="C58" s="632">
        <v>133</v>
      </c>
    </row>
    <row r="59" spans="1:3" x14ac:dyDescent="0.25">
      <c r="A59" s="631">
        <v>1000104</v>
      </c>
      <c r="B59" s="632" t="s">
        <v>447</v>
      </c>
      <c r="C59" s="632">
        <v>133</v>
      </c>
    </row>
    <row r="60" spans="1:3" x14ac:dyDescent="0.25">
      <c r="A60" s="631">
        <v>1000105</v>
      </c>
      <c r="B60" s="632" t="s">
        <v>448</v>
      </c>
      <c r="C60" s="632">
        <v>133</v>
      </c>
    </row>
    <row r="61" spans="1:3" x14ac:dyDescent="0.25">
      <c r="A61" s="631">
        <v>1000106</v>
      </c>
      <c r="B61" s="632" t="s">
        <v>449</v>
      </c>
      <c r="C61" s="632">
        <v>133</v>
      </c>
    </row>
    <row r="62" spans="1:3" x14ac:dyDescent="0.25">
      <c r="A62" s="631">
        <v>1000107</v>
      </c>
      <c r="B62" s="632" t="s">
        <v>4173</v>
      </c>
      <c r="C62" s="632">
        <v>0</v>
      </c>
    </row>
    <row r="63" spans="1:3" x14ac:dyDescent="0.25">
      <c r="A63" s="631">
        <v>1000108</v>
      </c>
      <c r="B63" s="632" t="s">
        <v>4174</v>
      </c>
      <c r="C63" s="632">
        <v>0</v>
      </c>
    </row>
    <row r="64" spans="1:3" x14ac:dyDescent="0.25">
      <c r="A64" s="631">
        <v>1000109</v>
      </c>
      <c r="B64" s="632" t="s">
        <v>450</v>
      </c>
      <c r="C64" s="632">
        <v>177</v>
      </c>
    </row>
    <row r="65" spans="1:3" x14ac:dyDescent="0.25">
      <c r="A65" s="631">
        <v>1000110</v>
      </c>
      <c r="B65" s="632" t="s">
        <v>451</v>
      </c>
      <c r="C65" s="632">
        <v>144</v>
      </c>
    </row>
    <row r="66" spans="1:3" x14ac:dyDescent="0.25">
      <c r="A66" s="631">
        <v>1000113</v>
      </c>
      <c r="B66" s="632" t="s">
        <v>452</v>
      </c>
      <c r="C66" s="632">
        <v>144</v>
      </c>
    </row>
    <row r="67" spans="1:3" x14ac:dyDescent="0.25">
      <c r="A67" s="631">
        <v>1000115</v>
      </c>
      <c r="B67" s="632" t="s">
        <v>453</v>
      </c>
      <c r="C67" s="632">
        <v>802</v>
      </c>
    </row>
    <row r="68" spans="1:3" x14ac:dyDescent="0.25">
      <c r="A68" s="631">
        <v>1000116</v>
      </c>
      <c r="B68" s="632" t="s">
        <v>454</v>
      </c>
      <c r="C68" s="632">
        <v>802</v>
      </c>
    </row>
    <row r="69" spans="1:3" x14ac:dyDescent="0.25">
      <c r="A69" s="631">
        <v>1000117</v>
      </c>
      <c r="B69" s="632" t="s">
        <v>455</v>
      </c>
      <c r="C69" s="632">
        <v>802</v>
      </c>
    </row>
    <row r="70" spans="1:3" x14ac:dyDescent="0.25">
      <c r="A70" s="631">
        <v>1000119</v>
      </c>
      <c r="B70" s="632" t="s">
        <v>456</v>
      </c>
      <c r="C70" s="632">
        <v>144</v>
      </c>
    </row>
    <row r="71" spans="1:3" x14ac:dyDescent="0.25">
      <c r="A71" s="631">
        <v>1000120</v>
      </c>
      <c r="B71" s="632" t="s">
        <v>457</v>
      </c>
      <c r="C71" s="632">
        <v>2693</v>
      </c>
    </row>
    <row r="72" spans="1:3" x14ac:dyDescent="0.25">
      <c r="A72" s="631">
        <v>1000122</v>
      </c>
      <c r="B72" s="632" t="s">
        <v>4175</v>
      </c>
      <c r="C72" s="632">
        <v>815</v>
      </c>
    </row>
    <row r="73" spans="1:3" x14ac:dyDescent="0.25">
      <c r="A73" s="631">
        <v>1000124</v>
      </c>
      <c r="B73" s="632" t="s">
        <v>458</v>
      </c>
      <c r="C73" s="632">
        <v>280</v>
      </c>
    </row>
    <row r="74" spans="1:3" x14ac:dyDescent="0.25">
      <c r="A74" s="631">
        <v>1000220</v>
      </c>
      <c r="B74" s="632" t="s">
        <v>459</v>
      </c>
      <c r="C74" s="632">
        <v>734</v>
      </c>
    </row>
    <row r="75" spans="1:3" x14ac:dyDescent="0.25">
      <c r="A75" s="631">
        <v>1000222</v>
      </c>
      <c r="B75" s="632" t="s">
        <v>460</v>
      </c>
      <c r="C75" s="632">
        <v>734</v>
      </c>
    </row>
    <row r="76" spans="1:3" x14ac:dyDescent="0.25">
      <c r="A76" s="631">
        <v>1000224</v>
      </c>
      <c r="B76" s="632" t="s">
        <v>461</v>
      </c>
      <c r="C76" s="632">
        <v>734</v>
      </c>
    </row>
    <row r="77" spans="1:3" x14ac:dyDescent="0.25">
      <c r="A77" s="631">
        <v>1000225</v>
      </c>
      <c r="B77" s="632" t="s">
        <v>462</v>
      </c>
      <c r="C77" s="632">
        <v>734</v>
      </c>
    </row>
    <row r="78" spans="1:3" x14ac:dyDescent="0.25">
      <c r="A78" s="631">
        <v>1000226</v>
      </c>
      <c r="B78" s="632" t="s">
        <v>463</v>
      </c>
      <c r="C78" s="632">
        <v>734</v>
      </c>
    </row>
    <row r="79" spans="1:3" x14ac:dyDescent="0.25">
      <c r="A79" s="631">
        <v>1100022</v>
      </c>
      <c r="B79" s="632" t="s">
        <v>464</v>
      </c>
      <c r="C79" s="632">
        <v>375</v>
      </c>
    </row>
    <row r="80" spans="1:3" x14ac:dyDescent="0.25">
      <c r="A80" s="631">
        <v>1100023</v>
      </c>
      <c r="B80" s="632" t="s">
        <v>465</v>
      </c>
      <c r="C80" s="632">
        <v>375</v>
      </c>
    </row>
    <row r="81" spans="1:3" x14ac:dyDescent="0.25">
      <c r="A81" s="631">
        <v>1100026</v>
      </c>
      <c r="B81" s="632" t="s">
        <v>466</v>
      </c>
      <c r="C81" s="632">
        <v>375</v>
      </c>
    </row>
    <row r="82" spans="1:3" x14ac:dyDescent="0.25">
      <c r="A82" s="631">
        <v>1100028</v>
      </c>
      <c r="B82" s="632" t="s">
        <v>467</v>
      </c>
      <c r="C82" s="632">
        <v>88</v>
      </c>
    </row>
    <row r="83" spans="1:3" x14ac:dyDescent="0.25">
      <c r="A83" s="631">
        <v>1100042</v>
      </c>
      <c r="B83" s="632" t="s">
        <v>468</v>
      </c>
      <c r="C83" s="632">
        <v>1879</v>
      </c>
    </row>
    <row r="84" spans="1:3" x14ac:dyDescent="0.25">
      <c r="A84" s="631" t="s">
        <v>469</v>
      </c>
      <c r="B84" s="632" t="s">
        <v>468</v>
      </c>
      <c r="C84" s="632">
        <v>1771</v>
      </c>
    </row>
    <row r="85" spans="1:3" x14ac:dyDescent="0.25">
      <c r="A85" s="631">
        <v>1100043</v>
      </c>
      <c r="B85" s="632" t="s">
        <v>470</v>
      </c>
      <c r="C85" s="632">
        <v>2816</v>
      </c>
    </row>
    <row r="86" spans="1:3" x14ac:dyDescent="0.25">
      <c r="A86" s="631" t="s">
        <v>471</v>
      </c>
      <c r="B86" s="632" t="s">
        <v>470</v>
      </c>
      <c r="C86" s="632">
        <v>2709</v>
      </c>
    </row>
    <row r="87" spans="1:3" x14ac:dyDescent="0.25">
      <c r="A87" s="631">
        <v>1100047</v>
      </c>
      <c r="B87" s="632" t="s">
        <v>472</v>
      </c>
      <c r="C87" s="632">
        <v>3128</v>
      </c>
    </row>
    <row r="88" spans="1:3" x14ac:dyDescent="0.25">
      <c r="A88" s="631" t="s">
        <v>473</v>
      </c>
      <c r="B88" s="632" t="s">
        <v>472</v>
      </c>
      <c r="C88" s="632">
        <v>3021</v>
      </c>
    </row>
    <row r="89" spans="1:3" x14ac:dyDescent="0.25">
      <c r="A89" s="631">
        <v>1100048</v>
      </c>
      <c r="B89" s="632" t="s">
        <v>472</v>
      </c>
      <c r="C89" s="632">
        <v>3128</v>
      </c>
    </row>
    <row r="90" spans="1:3" x14ac:dyDescent="0.25">
      <c r="A90" s="631" t="s">
        <v>474</v>
      </c>
      <c r="B90" s="632" t="s">
        <v>472</v>
      </c>
      <c r="C90" s="632">
        <v>3021</v>
      </c>
    </row>
    <row r="91" spans="1:3" x14ac:dyDescent="0.25">
      <c r="A91" s="631">
        <v>1100049</v>
      </c>
      <c r="B91" s="632" t="s">
        <v>472</v>
      </c>
      <c r="C91" s="632">
        <v>3368</v>
      </c>
    </row>
    <row r="92" spans="1:3" x14ac:dyDescent="0.25">
      <c r="A92" s="631" t="s">
        <v>475</v>
      </c>
      <c r="B92" s="632" t="s">
        <v>472</v>
      </c>
      <c r="C92" s="632">
        <v>3260</v>
      </c>
    </row>
    <row r="93" spans="1:3" x14ac:dyDescent="0.25">
      <c r="A93" s="631">
        <v>1100051</v>
      </c>
      <c r="B93" s="632" t="s">
        <v>472</v>
      </c>
      <c r="C93" s="632">
        <v>1879</v>
      </c>
    </row>
    <row r="94" spans="1:3" x14ac:dyDescent="0.25">
      <c r="A94" s="631" t="s">
        <v>476</v>
      </c>
      <c r="B94" s="632" t="s">
        <v>472</v>
      </c>
      <c r="C94" s="632">
        <v>1771</v>
      </c>
    </row>
    <row r="95" spans="1:3" x14ac:dyDescent="0.25">
      <c r="A95" s="631">
        <v>1100071</v>
      </c>
      <c r="B95" s="632" t="s">
        <v>477</v>
      </c>
      <c r="C95" s="632">
        <v>4048</v>
      </c>
    </row>
    <row r="96" spans="1:3" x14ac:dyDescent="0.25">
      <c r="A96" s="631" t="s">
        <v>478</v>
      </c>
      <c r="B96" s="632" t="s">
        <v>477</v>
      </c>
      <c r="C96" s="632">
        <v>3916</v>
      </c>
    </row>
    <row r="97" spans="1:3" x14ac:dyDescent="0.25">
      <c r="A97" s="631" t="s">
        <v>479</v>
      </c>
      <c r="B97" s="632" t="s">
        <v>480</v>
      </c>
      <c r="C97" s="632">
        <v>3181</v>
      </c>
    </row>
    <row r="98" spans="1:3" x14ac:dyDescent="0.25">
      <c r="A98" s="631">
        <v>1100083</v>
      </c>
      <c r="B98" s="632" t="s">
        <v>481</v>
      </c>
      <c r="C98" s="632">
        <v>4048</v>
      </c>
    </row>
    <row r="99" spans="1:3" x14ac:dyDescent="0.25">
      <c r="A99" s="631">
        <v>1100084</v>
      </c>
      <c r="B99" s="632" t="s">
        <v>482</v>
      </c>
      <c r="C99" s="632">
        <v>4048</v>
      </c>
    </row>
    <row r="100" spans="1:3" x14ac:dyDescent="0.25">
      <c r="A100" s="631" t="s">
        <v>483</v>
      </c>
      <c r="B100" s="632" t="s">
        <v>482</v>
      </c>
      <c r="C100" s="632">
        <v>3181</v>
      </c>
    </row>
    <row r="101" spans="1:3" x14ac:dyDescent="0.25">
      <c r="A101" s="631">
        <v>1100089</v>
      </c>
      <c r="B101" s="632" t="s">
        <v>480</v>
      </c>
      <c r="C101" s="632">
        <v>3290</v>
      </c>
    </row>
    <row r="102" spans="1:3" x14ac:dyDescent="0.25">
      <c r="A102" s="631" t="s">
        <v>484</v>
      </c>
      <c r="B102" s="632" t="s">
        <v>485</v>
      </c>
      <c r="C102" s="632">
        <v>4048</v>
      </c>
    </row>
    <row r="103" spans="1:3" x14ac:dyDescent="0.25">
      <c r="A103" s="631">
        <v>1100091</v>
      </c>
      <c r="B103" s="632" t="s">
        <v>486</v>
      </c>
      <c r="C103" s="632">
        <v>4048</v>
      </c>
    </row>
    <row r="104" spans="1:3" x14ac:dyDescent="0.25">
      <c r="A104" s="631" t="s">
        <v>487</v>
      </c>
      <c r="B104" s="632" t="s">
        <v>488</v>
      </c>
      <c r="C104" s="632">
        <v>3717</v>
      </c>
    </row>
    <row r="105" spans="1:3" x14ac:dyDescent="0.25">
      <c r="A105" s="631">
        <v>1100100</v>
      </c>
      <c r="B105" s="632" t="s">
        <v>489</v>
      </c>
      <c r="C105" s="632">
        <v>3290</v>
      </c>
    </row>
    <row r="106" spans="1:3" x14ac:dyDescent="0.25">
      <c r="A106" s="631">
        <v>1100141</v>
      </c>
      <c r="B106" s="632" t="s">
        <v>490</v>
      </c>
      <c r="C106" s="632">
        <v>4684</v>
      </c>
    </row>
    <row r="107" spans="1:3" x14ac:dyDescent="0.25">
      <c r="A107" s="631" t="s">
        <v>491</v>
      </c>
      <c r="B107" s="632" t="s">
        <v>490</v>
      </c>
      <c r="C107" s="632">
        <v>4263</v>
      </c>
    </row>
    <row r="108" spans="1:3" x14ac:dyDescent="0.25">
      <c r="A108" s="631">
        <v>1100146</v>
      </c>
      <c r="B108" s="632" t="s">
        <v>492</v>
      </c>
      <c r="C108" s="632">
        <v>4684</v>
      </c>
    </row>
    <row r="109" spans="1:3" x14ac:dyDescent="0.25">
      <c r="A109" s="631" t="s">
        <v>493</v>
      </c>
      <c r="B109" s="632" t="s">
        <v>492</v>
      </c>
      <c r="C109" s="632">
        <v>4263</v>
      </c>
    </row>
    <row r="110" spans="1:3" x14ac:dyDescent="0.25">
      <c r="A110" s="631">
        <v>1100150</v>
      </c>
      <c r="B110" s="632" t="s">
        <v>494</v>
      </c>
      <c r="C110" s="632">
        <v>337</v>
      </c>
    </row>
    <row r="111" spans="1:3" x14ac:dyDescent="0.25">
      <c r="A111" s="631">
        <v>1100154</v>
      </c>
      <c r="B111" s="632" t="s">
        <v>490</v>
      </c>
      <c r="C111" s="632">
        <v>3548</v>
      </c>
    </row>
    <row r="112" spans="1:3" x14ac:dyDescent="0.25">
      <c r="A112" s="631">
        <v>1100155</v>
      </c>
      <c r="B112" s="632" t="s">
        <v>492</v>
      </c>
      <c r="C112" s="632">
        <v>3548</v>
      </c>
    </row>
    <row r="113" spans="1:3" x14ac:dyDescent="0.25">
      <c r="A113" s="631">
        <v>1100156</v>
      </c>
      <c r="B113" s="632" t="s">
        <v>495</v>
      </c>
      <c r="C113" s="632">
        <v>3548</v>
      </c>
    </row>
    <row r="114" spans="1:3" x14ac:dyDescent="0.25">
      <c r="A114" s="631" t="s">
        <v>496</v>
      </c>
      <c r="B114" s="632" t="s">
        <v>495</v>
      </c>
      <c r="C114" s="632">
        <v>3408</v>
      </c>
    </row>
    <row r="115" spans="1:3" x14ac:dyDescent="0.25">
      <c r="A115" s="631">
        <v>1100164</v>
      </c>
      <c r="B115" s="632" t="s">
        <v>490</v>
      </c>
      <c r="C115" s="632">
        <v>3548</v>
      </c>
    </row>
    <row r="116" spans="1:3" x14ac:dyDescent="0.25">
      <c r="A116" s="631">
        <v>1100165</v>
      </c>
      <c r="B116" s="632" t="s">
        <v>492</v>
      </c>
      <c r="C116" s="632">
        <v>3548</v>
      </c>
    </row>
    <row r="117" spans="1:3" x14ac:dyDescent="0.25">
      <c r="A117" s="631">
        <v>1100166</v>
      </c>
      <c r="B117" s="632" t="s">
        <v>495</v>
      </c>
      <c r="C117" s="632">
        <v>3548</v>
      </c>
    </row>
    <row r="118" spans="1:3" x14ac:dyDescent="0.25">
      <c r="A118" s="631" t="s">
        <v>497</v>
      </c>
      <c r="B118" s="632" t="s">
        <v>495</v>
      </c>
      <c r="C118" s="632">
        <v>3408</v>
      </c>
    </row>
    <row r="119" spans="1:3" x14ac:dyDescent="0.25">
      <c r="A119" s="631">
        <v>1100184</v>
      </c>
      <c r="B119" s="632" t="s">
        <v>490</v>
      </c>
      <c r="C119" s="632">
        <v>4684</v>
      </c>
    </row>
    <row r="120" spans="1:3" x14ac:dyDescent="0.25">
      <c r="A120" s="631" t="s">
        <v>498</v>
      </c>
      <c r="B120" s="632" t="s">
        <v>490</v>
      </c>
      <c r="C120" s="632">
        <v>4263</v>
      </c>
    </row>
    <row r="121" spans="1:3" x14ac:dyDescent="0.25">
      <c r="A121" s="631">
        <v>1100185</v>
      </c>
      <c r="B121" s="632" t="s">
        <v>492</v>
      </c>
      <c r="C121" s="632">
        <v>4684</v>
      </c>
    </row>
    <row r="122" spans="1:3" x14ac:dyDescent="0.25">
      <c r="A122" s="631" t="s">
        <v>499</v>
      </c>
      <c r="B122" s="632" t="s">
        <v>492</v>
      </c>
      <c r="C122" s="632">
        <v>4659</v>
      </c>
    </row>
    <row r="123" spans="1:3" x14ac:dyDescent="0.25">
      <c r="A123" s="631">
        <v>1100274</v>
      </c>
      <c r="B123" s="632" t="s">
        <v>490</v>
      </c>
      <c r="C123" s="632">
        <v>3737</v>
      </c>
    </row>
    <row r="124" spans="1:3" x14ac:dyDescent="0.25">
      <c r="A124" s="631">
        <v>1100275</v>
      </c>
      <c r="B124" s="632" t="s">
        <v>492</v>
      </c>
      <c r="C124" s="632">
        <v>3737</v>
      </c>
    </row>
    <row r="125" spans="1:3" x14ac:dyDescent="0.25">
      <c r="A125" s="631">
        <v>1100276</v>
      </c>
      <c r="B125" s="632" t="s">
        <v>495</v>
      </c>
      <c r="C125" s="632">
        <v>3737</v>
      </c>
    </row>
    <row r="126" spans="1:3" x14ac:dyDescent="0.25">
      <c r="A126" s="631">
        <v>1100284</v>
      </c>
      <c r="B126" s="632" t="s">
        <v>490</v>
      </c>
      <c r="C126" s="632">
        <v>3737</v>
      </c>
    </row>
    <row r="127" spans="1:3" x14ac:dyDescent="0.25">
      <c r="A127" s="631">
        <v>1100285</v>
      </c>
      <c r="B127" s="632" t="s">
        <v>492</v>
      </c>
      <c r="C127" s="632">
        <v>3737</v>
      </c>
    </row>
    <row r="128" spans="1:3" x14ac:dyDescent="0.25">
      <c r="A128" s="631">
        <v>1100286</v>
      </c>
      <c r="B128" s="632" t="s">
        <v>495</v>
      </c>
      <c r="C128" s="632">
        <v>3737</v>
      </c>
    </row>
    <row r="129" spans="1:6" x14ac:dyDescent="0.25">
      <c r="A129" s="631">
        <v>1100300</v>
      </c>
      <c r="B129" s="632" t="s">
        <v>500</v>
      </c>
      <c r="C129" s="632">
        <v>1300</v>
      </c>
    </row>
    <row r="130" spans="1:6" x14ac:dyDescent="0.25">
      <c r="A130" s="631">
        <v>1100301</v>
      </c>
      <c r="B130" s="632" t="s">
        <v>501</v>
      </c>
      <c r="C130" s="632">
        <v>150</v>
      </c>
    </row>
    <row r="131" spans="1:6" x14ac:dyDescent="0.25">
      <c r="A131" s="631"/>
    </row>
    <row r="132" spans="1:6" x14ac:dyDescent="0.25">
      <c r="A132" s="631">
        <v>1100305</v>
      </c>
      <c r="B132" s="632" t="s">
        <v>502</v>
      </c>
      <c r="C132" s="632">
        <v>1300</v>
      </c>
    </row>
    <row r="133" spans="1:6" x14ac:dyDescent="0.25">
      <c r="A133" s="631">
        <v>1100306</v>
      </c>
      <c r="B133" s="632" t="s">
        <v>503</v>
      </c>
      <c r="C133" s="632">
        <v>1300</v>
      </c>
    </row>
    <row r="134" spans="1:6" x14ac:dyDescent="0.25">
      <c r="A134" s="631">
        <v>1100360</v>
      </c>
      <c r="B134" s="632" t="s">
        <v>505</v>
      </c>
      <c r="C134" s="632">
        <v>2791</v>
      </c>
    </row>
    <row r="135" spans="1:6" x14ac:dyDescent="0.25">
      <c r="A135" s="631">
        <v>1100361</v>
      </c>
      <c r="B135" s="632" t="s">
        <v>506</v>
      </c>
      <c r="C135" s="632">
        <v>2838</v>
      </c>
    </row>
    <row r="136" spans="1:6" x14ac:dyDescent="0.25">
      <c r="A136" s="631">
        <v>1100362</v>
      </c>
      <c r="B136" s="632" t="s">
        <v>507</v>
      </c>
      <c r="C136" s="632">
        <v>2838</v>
      </c>
    </row>
    <row r="137" spans="1:6" x14ac:dyDescent="0.25">
      <c r="A137" s="631">
        <v>1100363</v>
      </c>
      <c r="B137" s="632" t="s">
        <v>508</v>
      </c>
      <c r="C137" s="632">
        <v>2838</v>
      </c>
    </row>
    <row r="138" spans="1:6" x14ac:dyDescent="0.25">
      <c r="A138" s="631">
        <v>1100364</v>
      </c>
      <c r="B138" s="632" t="s">
        <v>509</v>
      </c>
      <c r="C138" s="632">
        <v>2838</v>
      </c>
    </row>
    <row r="139" spans="1:6" x14ac:dyDescent="0.25">
      <c r="A139" s="631">
        <v>1101520</v>
      </c>
      <c r="B139" s="632" t="s">
        <v>510</v>
      </c>
      <c r="C139" s="632">
        <v>10569</v>
      </c>
    </row>
    <row r="140" spans="1:6" x14ac:dyDescent="0.25">
      <c r="A140" s="631" t="s">
        <v>514</v>
      </c>
      <c r="B140" s="632" t="s">
        <v>510</v>
      </c>
      <c r="C140" s="632">
        <v>10569</v>
      </c>
    </row>
    <row r="141" spans="1:6" x14ac:dyDescent="0.25">
      <c r="A141" s="631">
        <v>1101522</v>
      </c>
      <c r="B141" s="632" t="s">
        <v>511</v>
      </c>
      <c r="C141" s="632">
        <v>9670</v>
      </c>
      <c r="F141" s="632"/>
    </row>
    <row r="142" spans="1:6" x14ac:dyDescent="0.25">
      <c r="A142" s="631" t="s">
        <v>515</v>
      </c>
      <c r="B142" s="632" t="s">
        <v>511</v>
      </c>
      <c r="C142" s="632">
        <v>10569</v>
      </c>
    </row>
    <row r="143" spans="1:6" x14ac:dyDescent="0.25">
      <c r="A143" s="631">
        <v>1101524</v>
      </c>
      <c r="B143" s="632" t="s">
        <v>512</v>
      </c>
      <c r="C143" s="632">
        <v>9670</v>
      </c>
    </row>
    <row r="144" spans="1:6" x14ac:dyDescent="0.25">
      <c r="A144" s="631" t="s">
        <v>516</v>
      </c>
      <c r="B144" s="632" t="s">
        <v>512</v>
      </c>
      <c r="C144" s="632">
        <v>10569</v>
      </c>
    </row>
    <row r="145" spans="1:3" x14ac:dyDescent="0.25">
      <c r="A145" s="631">
        <v>1101526</v>
      </c>
      <c r="B145" s="632" t="s">
        <v>513</v>
      </c>
      <c r="C145" s="632">
        <v>10569</v>
      </c>
    </row>
    <row r="146" spans="1:3" x14ac:dyDescent="0.25">
      <c r="A146" s="631" t="s">
        <v>517</v>
      </c>
      <c r="B146" s="632" t="s">
        <v>513</v>
      </c>
      <c r="C146" s="632">
        <v>10569</v>
      </c>
    </row>
    <row r="147" spans="1:3" x14ac:dyDescent="0.25">
      <c r="A147" s="631">
        <v>1101530</v>
      </c>
      <c r="B147" s="632" t="s">
        <v>510</v>
      </c>
      <c r="C147" s="632">
        <v>10569</v>
      </c>
    </row>
    <row r="148" spans="1:3" x14ac:dyDescent="0.25">
      <c r="A148" s="631" t="s">
        <v>518</v>
      </c>
      <c r="B148" s="632" t="s">
        <v>510</v>
      </c>
      <c r="C148" s="632">
        <v>10569</v>
      </c>
    </row>
    <row r="149" spans="1:3" x14ac:dyDescent="0.25">
      <c r="A149" s="631">
        <v>1101532</v>
      </c>
      <c r="B149" s="632" t="s">
        <v>511</v>
      </c>
      <c r="C149" s="632">
        <v>9670</v>
      </c>
    </row>
    <row r="150" spans="1:3" x14ac:dyDescent="0.25">
      <c r="A150" s="631" t="s">
        <v>519</v>
      </c>
      <c r="B150" s="632" t="s">
        <v>511</v>
      </c>
      <c r="C150" s="632">
        <v>10569</v>
      </c>
    </row>
    <row r="151" spans="1:3" x14ac:dyDescent="0.25">
      <c r="A151" s="631">
        <v>1101534</v>
      </c>
      <c r="B151" s="632" t="s">
        <v>512</v>
      </c>
      <c r="C151" s="632">
        <v>9670</v>
      </c>
    </row>
    <row r="152" spans="1:3" x14ac:dyDescent="0.25">
      <c r="A152" s="631" t="s">
        <v>520</v>
      </c>
      <c r="B152" s="632" t="s">
        <v>512</v>
      </c>
      <c r="C152" s="632">
        <v>10569</v>
      </c>
    </row>
    <row r="153" spans="1:3" x14ac:dyDescent="0.25">
      <c r="A153" s="631">
        <v>1101536</v>
      </c>
      <c r="B153" s="632" t="s">
        <v>513</v>
      </c>
      <c r="C153" s="632">
        <v>10569</v>
      </c>
    </row>
    <row r="154" spans="1:3" x14ac:dyDescent="0.25">
      <c r="A154" s="631" t="s">
        <v>521</v>
      </c>
      <c r="B154" s="632" t="s">
        <v>513</v>
      </c>
      <c r="C154" s="632">
        <v>10569</v>
      </c>
    </row>
    <row r="155" spans="1:3" x14ac:dyDescent="0.25">
      <c r="A155" s="631">
        <v>1101560</v>
      </c>
      <c r="B155" s="632" t="s">
        <v>522</v>
      </c>
      <c r="C155" s="632">
        <v>461</v>
      </c>
    </row>
    <row r="156" spans="1:3" x14ac:dyDescent="0.25">
      <c r="A156" s="631">
        <v>1102450</v>
      </c>
      <c r="B156" s="632" t="s">
        <v>523</v>
      </c>
      <c r="C156" s="632">
        <v>2009</v>
      </c>
    </row>
    <row r="157" spans="1:3" x14ac:dyDescent="0.25">
      <c r="A157" s="631">
        <v>1102461</v>
      </c>
      <c r="B157" s="632" t="s">
        <v>524</v>
      </c>
      <c r="C157" s="632">
        <v>3459</v>
      </c>
    </row>
    <row r="158" spans="1:3" x14ac:dyDescent="0.25">
      <c r="A158" s="631">
        <v>1102462</v>
      </c>
      <c r="B158" s="632" t="s">
        <v>525</v>
      </c>
      <c r="C158" s="632">
        <v>3032</v>
      </c>
    </row>
    <row r="159" spans="1:3" x14ac:dyDescent="0.25">
      <c r="A159" s="631">
        <v>1102467</v>
      </c>
      <c r="B159" s="632" t="s">
        <v>526</v>
      </c>
      <c r="C159" s="632">
        <v>81</v>
      </c>
    </row>
    <row r="160" spans="1:3" x14ac:dyDescent="0.25">
      <c r="A160" s="631">
        <v>1102468</v>
      </c>
      <c r="B160" s="632" t="s">
        <v>527</v>
      </c>
      <c r="C160" s="632">
        <v>442</v>
      </c>
    </row>
    <row r="161" spans="1:3" x14ac:dyDescent="0.25">
      <c r="A161" s="631">
        <v>1103200</v>
      </c>
      <c r="B161" s="632" t="s">
        <v>528</v>
      </c>
      <c r="C161" s="632">
        <v>768</v>
      </c>
    </row>
    <row r="162" spans="1:3" x14ac:dyDescent="0.25">
      <c r="A162" s="631">
        <v>1103327</v>
      </c>
      <c r="B162" s="632" t="s">
        <v>529</v>
      </c>
      <c r="C162" s="632">
        <v>8960</v>
      </c>
    </row>
    <row r="163" spans="1:3" x14ac:dyDescent="0.25">
      <c r="A163" s="631">
        <v>1103330</v>
      </c>
      <c r="B163" s="632" t="s">
        <v>530</v>
      </c>
      <c r="C163" s="632">
        <v>8960</v>
      </c>
    </row>
    <row r="164" spans="1:3" x14ac:dyDescent="0.25">
      <c r="A164" s="631">
        <v>1103333</v>
      </c>
      <c r="B164" s="632" t="s">
        <v>531</v>
      </c>
      <c r="C164" s="632">
        <v>8960</v>
      </c>
    </row>
    <row r="165" spans="1:3" x14ac:dyDescent="0.25">
      <c r="A165" s="631">
        <v>1103336</v>
      </c>
      <c r="B165" s="632" t="s">
        <v>532</v>
      </c>
      <c r="C165" s="632">
        <v>8960</v>
      </c>
    </row>
    <row r="166" spans="1:3" x14ac:dyDescent="0.25">
      <c r="A166" s="631">
        <v>1103339</v>
      </c>
      <c r="B166" s="632" t="s">
        <v>533</v>
      </c>
      <c r="C166" s="632">
        <v>8960</v>
      </c>
    </row>
    <row r="167" spans="1:3" x14ac:dyDescent="0.25">
      <c r="A167" s="631">
        <v>1103342</v>
      </c>
      <c r="B167" s="632" t="s">
        <v>534</v>
      </c>
      <c r="C167" s="632">
        <v>8960</v>
      </c>
    </row>
    <row r="168" spans="1:3" x14ac:dyDescent="0.25">
      <c r="A168" s="631">
        <v>1103345</v>
      </c>
      <c r="B168" s="632" t="s">
        <v>535</v>
      </c>
      <c r="C168" s="632">
        <v>8960</v>
      </c>
    </row>
    <row r="169" spans="1:3" x14ac:dyDescent="0.25">
      <c r="A169" s="631">
        <v>1103350</v>
      </c>
      <c r="B169" s="632" t="s">
        <v>536</v>
      </c>
      <c r="C169" s="632">
        <v>8960</v>
      </c>
    </row>
    <row r="170" spans="1:3" x14ac:dyDescent="0.25">
      <c r="A170" s="631">
        <v>1103427</v>
      </c>
      <c r="B170" s="632" t="s">
        <v>529</v>
      </c>
      <c r="C170" s="632">
        <v>8960</v>
      </c>
    </row>
    <row r="171" spans="1:3" x14ac:dyDescent="0.25">
      <c r="A171" s="631">
        <v>1103430</v>
      </c>
      <c r="B171" s="632" t="s">
        <v>530</v>
      </c>
      <c r="C171" s="632">
        <v>8960</v>
      </c>
    </row>
    <row r="172" spans="1:3" x14ac:dyDescent="0.25">
      <c r="A172" s="631">
        <v>1103433</v>
      </c>
      <c r="B172" s="632" t="s">
        <v>531</v>
      </c>
      <c r="C172" s="632">
        <v>8960</v>
      </c>
    </row>
    <row r="173" spans="1:3" x14ac:dyDescent="0.25">
      <c r="A173" s="631">
        <v>1103436</v>
      </c>
      <c r="B173" s="632" t="s">
        <v>532</v>
      </c>
      <c r="C173" s="632">
        <v>8960</v>
      </c>
    </row>
    <row r="174" spans="1:3" x14ac:dyDescent="0.25">
      <c r="A174" s="631">
        <v>1103439</v>
      </c>
      <c r="B174" s="632" t="s">
        <v>533</v>
      </c>
      <c r="C174" s="632">
        <v>8960</v>
      </c>
    </row>
    <row r="175" spans="1:3" x14ac:dyDescent="0.25">
      <c r="A175" s="631">
        <v>1103442</v>
      </c>
      <c r="B175" s="632" t="s">
        <v>534</v>
      </c>
      <c r="C175" s="632">
        <v>8960</v>
      </c>
    </row>
    <row r="176" spans="1:3" x14ac:dyDescent="0.25">
      <c r="A176" s="631">
        <v>1103445</v>
      </c>
      <c r="B176" s="632" t="s">
        <v>535</v>
      </c>
      <c r="C176" s="632">
        <v>8960</v>
      </c>
    </row>
    <row r="177" spans="1:3" x14ac:dyDescent="0.25">
      <c r="A177" s="631">
        <v>1103450</v>
      </c>
      <c r="B177" s="632" t="s">
        <v>536</v>
      </c>
      <c r="C177" s="632">
        <v>8960</v>
      </c>
    </row>
    <row r="178" spans="1:3" x14ac:dyDescent="0.25">
      <c r="A178" s="631">
        <v>1103527</v>
      </c>
      <c r="B178" s="632" t="s">
        <v>537</v>
      </c>
      <c r="C178" s="632">
        <v>8960</v>
      </c>
    </row>
    <row r="179" spans="1:3" x14ac:dyDescent="0.25">
      <c r="A179" s="631">
        <v>1103530</v>
      </c>
      <c r="B179" s="632" t="s">
        <v>504</v>
      </c>
      <c r="C179" s="632">
        <v>8960</v>
      </c>
    </row>
    <row r="180" spans="1:3" x14ac:dyDescent="0.25">
      <c r="A180" s="631">
        <v>1103533</v>
      </c>
      <c r="B180" s="632" t="s">
        <v>538</v>
      </c>
      <c r="C180" s="632">
        <v>8960</v>
      </c>
    </row>
    <row r="181" spans="1:3" x14ac:dyDescent="0.25">
      <c r="A181" s="631">
        <v>1103536</v>
      </c>
      <c r="B181" s="632" t="s">
        <v>539</v>
      </c>
      <c r="C181" s="632">
        <v>8960</v>
      </c>
    </row>
    <row r="182" spans="1:3" x14ac:dyDescent="0.25">
      <c r="A182" s="631">
        <v>1103539</v>
      </c>
      <c r="B182" s="632" t="s">
        <v>540</v>
      </c>
      <c r="C182" s="632">
        <v>8960</v>
      </c>
    </row>
    <row r="183" spans="1:3" x14ac:dyDescent="0.25">
      <c r="A183" s="631">
        <v>1103542</v>
      </c>
      <c r="B183" s="632" t="s">
        <v>541</v>
      </c>
      <c r="C183" s="632">
        <v>8960</v>
      </c>
    </row>
    <row r="184" spans="1:3" x14ac:dyDescent="0.25">
      <c r="A184" s="631">
        <v>1103545</v>
      </c>
      <c r="B184" s="632" t="s">
        <v>542</v>
      </c>
      <c r="C184" s="632">
        <v>8960</v>
      </c>
    </row>
    <row r="185" spans="1:3" x14ac:dyDescent="0.25">
      <c r="A185" s="631">
        <v>1103550</v>
      </c>
      <c r="B185" s="632" t="s">
        <v>543</v>
      </c>
      <c r="C185" s="632">
        <v>8960</v>
      </c>
    </row>
    <row r="186" spans="1:3" x14ac:dyDescent="0.25">
      <c r="A186" s="631">
        <v>1103627</v>
      </c>
      <c r="B186" s="632" t="s">
        <v>537</v>
      </c>
      <c r="C186" s="632">
        <v>8960</v>
      </c>
    </row>
    <row r="187" spans="1:3" x14ac:dyDescent="0.25">
      <c r="A187" s="631">
        <v>1103630</v>
      </c>
      <c r="B187" s="632" t="s">
        <v>504</v>
      </c>
      <c r="C187" s="632">
        <v>8960</v>
      </c>
    </row>
    <row r="188" spans="1:3" x14ac:dyDescent="0.25">
      <c r="A188" s="631">
        <v>1103633</v>
      </c>
      <c r="B188" s="632" t="s">
        <v>538</v>
      </c>
      <c r="C188" s="632">
        <v>8960</v>
      </c>
    </row>
    <row r="189" spans="1:3" x14ac:dyDescent="0.25">
      <c r="A189" s="631">
        <v>1103636</v>
      </c>
      <c r="B189" s="632" t="s">
        <v>539</v>
      </c>
      <c r="C189" s="632">
        <v>8197</v>
      </c>
    </row>
    <row r="190" spans="1:3" x14ac:dyDescent="0.25">
      <c r="A190" s="631">
        <v>1103639</v>
      </c>
      <c r="B190" s="632" t="s">
        <v>540</v>
      </c>
      <c r="C190" s="632">
        <v>8960</v>
      </c>
    </row>
    <row r="191" spans="1:3" x14ac:dyDescent="0.25">
      <c r="A191" s="631">
        <v>1103642</v>
      </c>
      <c r="B191" s="632" t="s">
        <v>541</v>
      </c>
      <c r="C191" s="632">
        <v>8960</v>
      </c>
    </row>
    <row r="192" spans="1:3" x14ac:dyDescent="0.25">
      <c r="A192" s="631">
        <v>1103645</v>
      </c>
      <c r="B192" s="632" t="s">
        <v>542</v>
      </c>
      <c r="C192" s="632">
        <v>8960</v>
      </c>
    </row>
    <row r="193" spans="1:3" x14ac:dyDescent="0.25">
      <c r="A193" s="631">
        <v>1103650</v>
      </c>
      <c r="B193" s="632" t="s">
        <v>543</v>
      </c>
      <c r="C193" s="632">
        <v>8960</v>
      </c>
    </row>
    <row r="194" spans="1:3" x14ac:dyDescent="0.25">
      <c r="A194" s="631">
        <v>1201111</v>
      </c>
      <c r="B194" s="632" t="s">
        <v>544</v>
      </c>
      <c r="C194" s="632">
        <v>5528</v>
      </c>
    </row>
    <row r="195" spans="1:3" x14ac:dyDescent="0.25">
      <c r="A195" s="631">
        <v>1201112</v>
      </c>
      <c r="B195" s="632" t="s">
        <v>544</v>
      </c>
      <c r="C195" s="632">
        <v>5528</v>
      </c>
    </row>
    <row r="196" spans="1:3" x14ac:dyDescent="0.25">
      <c r="A196" s="631">
        <v>1201113</v>
      </c>
      <c r="B196" s="632" t="s">
        <v>544</v>
      </c>
      <c r="C196" s="632">
        <v>5528</v>
      </c>
    </row>
    <row r="197" spans="1:3" x14ac:dyDescent="0.25">
      <c r="A197" s="631">
        <v>1201114</v>
      </c>
      <c r="B197" s="632" t="s">
        <v>544</v>
      </c>
      <c r="C197" s="632">
        <v>5528</v>
      </c>
    </row>
    <row r="198" spans="1:3" x14ac:dyDescent="0.25">
      <c r="A198" s="631">
        <v>1201115</v>
      </c>
      <c r="B198" s="632" t="s">
        <v>544</v>
      </c>
      <c r="C198" s="632">
        <v>5528</v>
      </c>
    </row>
    <row r="199" spans="1:3" x14ac:dyDescent="0.25">
      <c r="A199" s="631">
        <v>1201116</v>
      </c>
      <c r="B199" s="632" t="s">
        <v>544</v>
      </c>
      <c r="C199" s="632">
        <v>5528</v>
      </c>
    </row>
    <row r="200" spans="1:3" x14ac:dyDescent="0.25">
      <c r="A200" s="631">
        <v>1201117</v>
      </c>
      <c r="B200" s="632" t="s">
        <v>544</v>
      </c>
      <c r="C200" s="632">
        <v>5528</v>
      </c>
    </row>
    <row r="201" spans="1:3" x14ac:dyDescent="0.25">
      <c r="A201" s="631">
        <v>1201118</v>
      </c>
      <c r="B201" s="632" t="s">
        <v>544</v>
      </c>
      <c r="C201" s="632">
        <v>5528</v>
      </c>
    </row>
    <row r="202" spans="1:3" x14ac:dyDescent="0.25">
      <c r="A202" s="631">
        <v>1201121</v>
      </c>
      <c r="B202" s="632" t="s">
        <v>544</v>
      </c>
      <c r="C202" s="632">
        <v>5528</v>
      </c>
    </row>
    <row r="203" spans="1:3" x14ac:dyDescent="0.25">
      <c r="A203" s="631">
        <v>1201122</v>
      </c>
      <c r="B203" s="632" t="s">
        <v>544</v>
      </c>
      <c r="C203" s="632">
        <v>5528</v>
      </c>
    </row>
    <row r="204" spans="1:3" x14ac:dyDescent="0.25">
      <c r="A204" s="631">
        <v>1201123</v>
      </c>
      <c r="B204" s="632" t="s">
        <v>544</v>
      </c>
      <c r="C204" s="632">
        <v>5528</v>
      </c>
    </row>
    <row r="205" spans="1:3" x14ac:dyDescent="0.25">
      <c r="A205" s="631">
        <v>1201124</v>
      </c>
      <c r="B205" s="632" t="s">
        <v>544</v>
      </c>
      <c r="C205" s="632">
        <v>5528</v>
      </c>
    </row>
    <row r="206" spans="1:3" x14ac:dyDescent="0.25">
      <c r="A206" s="631">
        <v>1201125</v>
      </c>
      <c r="B206" s="632" t="s">
        <v>544</v>
      </c>
      <c r="C206" s="632">
        <v>5528</v>
      </c>
    </row>
    <row r="207" spans="1:3" x14ac:dyDescent="0.25">
      <c r="A207" s="631">
        <v>1201126</v>
      </c>
      <c r="B207" s="632" t="s">
        <v>544</v>
      </c>
      <c r="C207" s="632">
        <v>5528</v>
      </c>
    </row>
    <row r="208" spans="1:3" x14ac:dyDescent="0.25">
      <c r="A208" s="631">
        <v>1201127</v>
      </c>
      <c r="B208" s="632" t="s">
        <v>544</v>
      </c>
      <c r="C208" s="632">
        <v>5528</v>
      </c>
    </row>
    <row r="209" spans="1:3" x14ac:dyDescent="0.25">
      <c r="A209" s="631">
        <v>1201128</v>
      </c>
      <c r="B209" s="632" t="s">
        <v>544</v>
      </c>
      <c r="C209" s="632">
        <v>5528</v>
      </c>
    </row>
    <row r="210" spans="1:3" x14ac:dyDescent="0.25">
      <c r="A210" s="631">
        <v>1201211</v>
      </c>
      <c r="B210" s="632" t="s">
        <v>545</v>
      </c>
      <c r="C210" s="632">
        <v>5528</v>
      </c>
    </row>
    <row r="211" spans="1:3" x14ac:dyDescent="0.25">
      <c r="A211" s="631">
        <v>1201213</v>
      </c>
      <c r="B211" s="632" t="s">
        <v>545</v>
      </c>
      <c r="C211" s="632">
        <v>5528</v>
      </c>
    </row>
    <row r="212" spans="1:3" x14ac:dyDescent="0.25">
      <c r="A212" s="631">
        <v>1201214</v>
      </c>
      <c r="B212" s="632" t="s">
        <v>545</v>
      </c>
      <c r="C212" s="632">
        <v>4919</v>
      </c>
    </row>
    <row r="213" spans="1:3" x14ac:dyDescent="0.25">
      <c r="A213" s="631">
        <v>1201215</v>
      </c>
      <c r="B213" s="632" t="s">
        <v>545</v>
      </c>
      <c r="C213" s="632">
        <v>5528</v>
      </c>
    </row>
    <row r="214" spans="1:3" x14ac:dyDescent="0.25">
      <c r="A214" s="631">
        <v>1201216</v>
      </c>
      <c r="B214" s="632" t="s">
        <v>545</v>
      </c>
      <c r="C214" s="632">
        <v>5528</v>
      </c>
    </row>
    <row r="215" spans="1:3" x14ac:dyDescent="0.25">
      <c r="A215" s="631">
        <v>1201217</v>
      </c>
      <c r="B215" s="632" t="s">
        <v>545</v>
      </c>
      <c r="C215" s="632">
        <v>5528</v>
      </c>
    </row>
    <row r="216" spans="1:3" x14ac:dyDescent="0.25">
      <c r="A216" s="631">
        <v>1201218</v>
      </c>
      <c r="B216" s="632" t="s">
        <v>545</v>
      </c>
      <c r="C216" s="632">
        <v>5828</v>
      </c>
    </row>
    <row r="217" spans="1:3" x14ac:dyDescent="0.25">
      <c r="A217" s="631">
        <v>1201221</v>
      </c>
      <c r="B217" s="632" t="s">
        <v>545</v>
      </c>
      <c r="C217" s="632">
        <v>5528</v>
      </c>
    </row>
    <row r="218" spans="1:3" x14ac:dyDescent="0.25">
      <c r="A218" s="631">
        <v>1201222</v>
      </c>
      <c r="B218" s="632" t="s">
        <v>545</v>
      </c>
      <c r="C218" s="632">
        <v>5528</v>
      </c>
    </row>
    <row r="219" spans="1:3" x14ac:dyDescent="0.25">
      <c r="A219" s="631">
        <v>1201223</v>
      </c>
      <c r="B219" s="632" t="s">
        <v>545</v>
      </c>
      <c r="C219" s="632">
        <v>5528</v>
      </c>
    </row>
    <row r="220" spans="1:3" x14ac:dyDescent="0.25">
      <c r="A220" s="631">
        <v>1201224</v>
      </c>
      <c r="B220" s="632" t="s">
        <v>545</v>
      </c>
      <c r="C220" s="632">
        <v>5528</v>
      </c>
    </row>
    <row r="221" spans="1:3" x14ac:dyDescent="0.25">
      <c r="A221" s="631">
        <v>1201225</v>
      </c>
      <c r="B221" s="632" t="s">
        <v>545</v>
      </c>
      <c r="C221" s="632">
        <v>5528</v>
      </c>
    </row>
    <row r="222" spans="1:3" x14ac:dyDescent="0.25">
      <c r="A222" s="631">
        <v>1201226</v>
      </c>
      <c r="B222" s="632" t="s">
        <v>545</v>
      </c>
      <c r="C222" s="632">
        <v>5528</v>
      </c>
    </row>
    <row r="223" spans="1:3" x14ac:dyDescent="0.25">
      <c r="A223" s="631">
        <v>1201227</v>
      </c>
      <c r="B223" s="632" t="s">
        <v>545</v>
      </c>
      <c r="C223" s="632">
        <v>5528</v>
      </c>
    </row>
    <row r="224" spans="1:3" x14ac:dyDescent="0.25">
      <c r="A224" s="631">
        <v>1201228</v>
      </c>
      <c r="B224" s="632" t="s">
        <v>545</v>
      </c>
      <c r="C224" s="632">
        <v>5528</v>
      </c>
    </row>
    <row r="225" spans="1:3" x14ac:dyDescent="0.25">
      <c r="A225" s="631">
        <v>1201311</v>
      </c>
      <c r="B225" s="632" t="s">
        <v>546</v>
      </c>
      <c r="C225" s="632">
        <v>5528</v>
      </c>
    </row>
    <row r="226" spans="1:3" x14ac:dyDescent="0.25">
      <c r="A226" s="631">
        <v>1201312</v>
      </c>
      <c r="B226" s="632" t="s">
        <v>546</v>
      </c>
      <c r="C226" s="632">
        <v>5528</v>
      </c>
    </row>
    <row r="227" spans="1:3" x14ac:dyDescent="0.25">
      <c r="A227" s="631">
        <v>1201313</v>
      </c>
      <c r="B227" s="632" t="s">
        <v>546</v>
      </c>
      <c r="C227" s="632">
        <v>5528</v>
      </c>
    </row>
    <row r="228" spans="1:3" x14ac:dyDescent="0.25">
      <c r="A228" s="631">
        <v>1201314</v>
      </c>
      <c r="B228" s="632" t="s">
        <v>546</v>
      </c>
      <c r="C228" s="632">
        <v>5528</v>
      </c>
    </row>
    <row r="229" spans="1:3" x14ac:dyDescent="0.25">
      <c r="A229" s="631">
        <v>1201315</v>
      </c>
      <c r="B229" s="632" t="s">
        <v>546</v>
      </c>
      <c r="C229" s="632">
        <v>5528</v>
      </c>
    </row>
    <row r="230" spans="1:3" x14ac:dyDescent="0.25">
      <c r="A230" s="631">
        <v>1201316</v>
      </c>
      <c r="B230" s="632" t="s">
        <v>546</v>
      </c>
      <c r="C230" s="632">
        <v>5528</v>
      </c>
    </row>
    <row r="231" spans="1:3" x14ac:dyDescent="0.25">
      <c r="A231" s="631">
        <v>1201317</v>
      </c>
      <c r="B231" s="632" t="s">
        <v>546</v>
      </c>
      <c r="C231" s="632">
        <v>5528</v>
      </c>
    </row>
    <row r="232" spans="1:3" x14ac:dyDescent="0.25">
      <c r="A232" s="631">
        <v>1201318</v>
      </c>
      <c r="B232" s="632" t="s">
        <v>546</v>
      </c>
      <c r="C232" s="632">
        <v>5528</v>
      </c>
    </row>
    <row r="233" spans="1:3" x14ac:dyDescent="0.25">
      <c r="A233" s="631">
        <v>1201321</v>
      </c>
      <c r="B233" s="632" t="s">
        <v>546</v>
      </c>
      <c r="C233" s="632">
        <v>5528</v>
      </c>
    </row>
    <row r="234" spans="1:3" x14ac:dyDescent="0.25">
      <c r="A234" s="631">
        <v>1201322</v>
      </c>
      <c r="B234" s="632" t="s">
        <v>546</v>
      </c>
      <c r="C234" s="632">
        <v>5528</v>
      </c>
    </row>
    <row r="235" spans="1:3" x14ac:dyDescent="0.25">
      <c r="A235" s="631">
        <v>1201323</v>
      </c>
      <c r="B235" s="632" t="s">
        <v>546</v>
      </c>
      <c r="C235" s="632">
        <v>5528</v>
      </c>
    </row>
    <row r="236" spans="1:3" x14ac:dyDescent="0.25">
      <c r="A236" s="631">
        <v>1201325</v>
      </c>
      <c r="B236" s="632" t="s">
        <v>546</v>
      </c>
      <c r="C236" s="632">
        <v>5528</v>
      </c>
    </row>
    <row r="237" spans="1:3" x14ac:dyDescent="0.25">
      <c r="A237" s="631">
        <v>1201326</v>
      </c>
      <c r="B237" s="632" t="s">
        <v>546</v>
      </c>
      <c r="C237" s="632">
        <v>5528</v>
      </c>
    </row>
    <row r="238" spans="1:3" x14ac:dyDescent="0.25">
      <c r="A238" s="631">
        <v>1201327</v>
      </c>
      <c r="B238" s="632" t="s">
        <v>546</v>
      </c>
      <c r="C238" s="632">
        <v>5528</v>
      </c>
    </row>
    <row r="239" spans="1:3" x14ac:dyDescent="0.25">
      <c r="A239" s="631">
        <v>1201328</v>
      </c>
      <c r="B239" s="632" t="s">
        <v>546</v>
      </c>
      <c r="C239" s="632">
        <v>5528</v>
      </c>
    </row>
    <row r="240" spans="1:3" x14ac:dyDescent="0.25">
      <c r="A240" s="631">
        <v>1201411</v>
      </c>
      <c r="B240" s="632" t="s">
        <v>547</v>
      </c>
      <c r="C240" s="632">
        <v>5528</v>
      </c>
    </row>
    <row r="241" spans="1:3" x14ac:dyDescent="0.25">
      <c r="A241" s="631">
        <v>1201412</v>
      </c>
      <c r="B241" s="632" t="s">
        <v>547</v>
      </c>
      <c r="C241" s="632">
        <v>5528</v>
      </c>
    </row>
    <row r="242" spans="1:3" x14ac:dyDescent="0.25">
      <c r="A242" s="631">
        <v>1201413</v>
      </c>
      <c r="B242" s="632" t="s">
        <v>547</v>
      </c>
      <c r="C242" s="632">
        <v>5528</v>
      </c>
    </row>
    <row r="243" spans="1:3" x14ac:dyDescent="0.25">
      <c r="A243" s="631">
        <v>1201414</v>
      </c>
      <c r="B243" s="632" t="s">
        <v>547</v>
      </c>
      <c r="C243" s="632">
        <v>5528</v>
      </c>
    </row>
    <row r="244" spans="1:3" x14ac:dyDescent="0.25">
      <c r="A244" s="631">
        <v>1201415</v>
      </c>
      <c r="B244" s="632" t="s">
        <v>547</v>
      </c>
      <c r="C244" s="632">
        <v>5528</v>
      </c>
    </row>
    <row r="245" spans="1:3" x14ac:dyDescent="0.25">
      <c r="A245" s="631">
        <v>1201416</v>
      </c>
      <c r="B245" s="632" t="s">
        <v>547</v>
      </c>
      <c r="C245" s="632">
        <v>5528</v>
      </c>
    </row>
    <row r="246" spans="1:3" x14ac:dyDescent="0.25">
      <c r="A246" s="631">
        <v>1201417</v>
      </c>
      <c r="B246" s="632" t="s">
        <v>547</v>
      </c>
      <c r="C246" s="632">
        <v>5528</v>
      </c>
    </row>
    <row r="247" spans="1:3" x14ac:dyDescent="0.25">
      <c r="A247" s="631">
        <v>1201418</v>
      </c>
      <c r="B247" s="632" t="s">
        <v>547</v>
      </c>
      <c r="C247" s="632">
        <v>5528</v>
      </c>
    </row>
    <row r="248" spans="1:3" x14ac:dyDescent="0.25">
      <c r="A248" s="631">
        <v>1201421</v>
      </c>
      <c r="B248" s="632" t="s">
        <v>547</v>
      </c>
      <c r="C248" s="632">
        <v>5528</v>
      </c>
    </row>
    <row r="249" spans="1:3" x14ac:dyDescent="0.25">
      <c r="A249" s="631">
        <v>1201422</v>
      </c>
      <c r="B249" s="632" t="s">
        <v>547</v>
      </c>
      <c r="C249" s="632">
        <v>5528</v>
      </c>
    </row>
    <row r="250" spans="1:3" x14ac:dyDescent="0.25">
      <c r="A250" s="631">
        <v>1201423</v>
      </c>
      <c r="B250" s="632" t="s">
        <v>547</v>
      </c>
      <c r="C250" s="632">
        <v>5528</v>
      </c>
    </row>
    <row r="251" spans="1:3" x14ac:dyDescent="0.25">
      <c r="A251" s="631">
        <v>1201424</v>
      </c>
      <c r="B251" s="632" t="s">
        <v>547</v>
      </c>
      <c r="C251" s="632">
        <v>5528</v>
      </c>
    </row>
    <row r="252" spans="1:3" x14ac:dyDescent="0.25">
      <c r="A252" s="631">
        <v>1201425</v>
      </c>
      <c r="B252" s="632" t="s">
        <v>547</v>
      </c>
      <c r="C252" s="632">
        <v>5528</v>
      </c>
    </row>
    <row r="253" spans="1:3" x14ac:dyDescent="0.25">
      <c r="A253" s="631">
        <v>1201426</v>
      </c>
      <c r="B253" s="632" t="s">
        <v>547</v>
      </c>
      <c r="C253" s="632">
        <v>5528</v>
      </c>
    </row>
    <row r="254" spans="1:3" x14ac:dyDescent="0.25">
      <c r="A254" s="631">
        <v>1201427</v>
      </c>
      <c r="B254" s="632" t="s">
        <v>547</v>
      </c>
      <c r="C254" s="632">
        <v>5528</v>
      </c>
    </row>
    <row r="255" spans="1:3" x14ac:dyDescent="0.25">
      <c r="A255" s="631">
        <v>1201428</v>
      </c>
      <c r="B255" s="632" t="s">
        <v>547</v>
      </c>
      <c r="C255" s="632">
        <v>5528</v>
      </c>
    </row>
    <row r="256" spans="1:3" x14ac:dyDescent="0.25">
      <c r="A256" s="631">
        <v>1202111</v>
      </c>
      <c r="B256" s="632" t="s">
        <v>548</v>
      </c>
      <c r="C256" s="632">
        <v>5528</v>
      </c>
    </row>
    <row r="257" spans="1:3" x14ac:dyDescent="0.25">
      <c r="A257" s="631">
        <v>1202113</v>
      </c>
      <c r="B257" s="632" t="s">
        <v>548</v>
      </c>
      <c r="C257" s="632">
        <v>5528</v>
      </c>
    </row>
    <row r="258" spans="1:3" x14ac:dyDescent="0.25">
      <c r="A258" s="631">
        <v>1202114</v>
      </c>
      <c r="B258" s="632" t="s">
        <v>548</v>
      </c>
      <c r="C258" s="632">
        <v>5528</v>
      </c>
    </row>
    <row r="259" spans="1:3" x14ac:dyDescent="0.25">
      <c r="A259" s="631">
        <v>1202115</v>
      </c>
      <c r="B259" s="632" t="s">
        <v>548</v>
      </c>
      <c r="C259" s="632">
        <v>5528</v>
      </c>
    </row>
    <row r="260" spans="1:3" x14ac:dyDescent="0.25">
      <c r="A260" s="631">
        <v>1202116</v>
      </c>
      <c r="B260" s="632" t="s">
        <v>548</v>
      </c>
      <c r="C260" s="632">
        <v>5528</v>
      </c>
    </row>
    <row r="261" spans="1:3" x14ac:dyDescent="0.25">
      <c r="A261" s="631">
        <v>1202117</v>
      </c>
      <c r="B261" s="632" t="s">
        <v>548</v>
      </c>
      <c r="C261" s="632">
        <v>5528</v>
      </c>
    </row>
    <row r="262" spans="1:3" x14ac:dyDescent="0.25">
      <c r="A262" s="631">
        <v>1202118</v>
      </c>
      <c r="B262" s="632" t="s">
        <v>548</v>
      </c>
      <c r="C262" s="632">
        <v>5528</v>
      </c>
    </row>
    <row r="263" spans="1:3" x14ac:dyDescent="0.25">
      <c r="A263" s="631">
        <v>1202121</v>
      </c>
      <c r="B263" s="632" t="s">
        <v>548</v>
      </c>
      <c r="C263" s="632">
        <v>5528</v>
      </c>
    </row>
    <row r="264" spans="1:3" x14ac:dyDescent="0.25">
      <c r="A264" s="631">
        <v>1202123</v>
      </c>
      <c r="B264" s="632" t="s">
        <v>548</v>
      </c>
      <c r="C264" s="632">
        <v>5528</v>
      </c>
    </row>
    <row r="265" spans="1:3" x14ac:dyDescent="0.25">
      <c r="A265" s="631">
        <v>1202124</v>
      </c>
      <c r="B265" s="632" t="s">
        <v>548</v>
      </c>
      <c r="C265" s="632">
        <v>5528</v>
      </c>
    </row>
    <row r="266" spans="1:3" x14ac:dyDescent="0.25">
      <c r="A266" s="631">
        <v>1202125</v>
      </c>
      <c r="B266" s="632" t="s">
        <v>548</v>
      </c>
      <c r="C266" s="632">
        <v>5528</v>
      </c>
    </row>
    <row r="267" spans="1:3" x14ac:dyDescent="0.25">
      <c r="A267" s="631">
        <v>1202126</v>
      </c>
      <c r="B267" s="632" t="s">
        <v>548</v>
      </c>
      <c r="C267" s="632">
        <v>5528</v>
      </c>
    </row>
    <row r="268" spans="1:3" x14ac:dyDescent="0.25">
      <c r="A268" s="631">
        <v>1202127</v>
      </c>
      <c r="B268" s="632" t="s">
        <v>548</v>
      </c>
      <c r="C268" s="632">
        <v>5528</v>
      </c>
    </row>
    <row r="269" spans="1:3" x14ac:dyDescent="0.25">
      <c r="A269" s="631">
        <v>1202128</v>
      </c>
      <c r="B269" s="632" t="s">
        <v>548</v>
      </c>
      <c r="C269" s="632">
        <v>5528</v>
      </c>
    </row>
    <row r="270" spans="1:3" x14ac:dyDescent="0.25">
      <c r="A270" s="631">
        <v>1202211</v>
      </c>
      <c r="B270" s="632" t="s">
        <v>549</v>
      </c>
      <c r="C270" s="632">
        <v>5528</v>
      </c>
    </row>
    <row r="271" spans="1:3" x14ac:dyDescent="0.25">
      <c r="A271" s="631">
        <v>1202213</v>
      </c>
      <c r="B271" s="632" t="s">
        <v>549</v>
      </c>
      <c r="C271" s="632">
        <v>5528</v>
      </c>
    </row>
    <row r="272" spans="1:3" x14ac:dyDescent="0.25">
      <c r="A272" s="631">
        <v>1202214</v>
      </c>
      <c r="B272" s="632" t="s">
        <v>549</v>
      </c>
      <c r="C272" s="632">
        <v>5528</v>
      </c>
    </row>
    <row r="273" spans="1:3" x14ac:dyDescent="0.25">
      <c r="A273" s="631">
        <v>1202215</v>
      </c>
      <c r="B273" s="632" t="s">
        <v>549</v>
      </c>
      <c r="C273" s="632">
        <v>5528</v>
      </c>
    </row>
    <row r="274" spans="1:3" x14ac:dyDescent="0.25">
      <c r="A274" s="631">
        <v>1202216</v>
      </c>
      <c r="B274" s="632" t="s">
        <v>549</v>
      </c>
      <c r="C274" s="632">
        <v>5528</v>
      </c>
    </row>
    <row r="275" spans="1:3" x14ac:dyDescent="0.25">
      <c r="A275" s="631">
        <v>1202217</v>
      </c>
      <c r="B275" s="632" t="s">
        <v>549</v>
      </c>
      <c r="C275" s="632">
        <v>5528</v>
      </c>
    </row>
    <row r="276" spans="1:3" x14ac:dyDescent="0.25">
      <c r="A276" s="631">
        <v>1202218</v>
      </c>
      <c r="B276" s="632" t="s">
        <v>549</v>
      </c>
      <c r="C276" s="632">
        <v>5528</v>
      </c>
    </row>
    <row r="277" spans="1:3" x14ac:dyDescent="0.25">
      <c r="A277" s="631">
        <v>1202221</v>
      </c>
      <c r="B277" s="632" t="s">
        <v>549</v>
      </c>
      <c r="C277" s="632">
        <v>5528</v>
      </c>
    </row>
    <row r="278" spans="1:3" x14ac:dyDescent="0.25">
      <c r="A278" s="631">
        <v>1202223</v>
      </c>
      <c r="B278" s="632" t="s">
        <v>549</v>
      </c>
      <c r="C278" s="632">
        <v>5528</v>
      </c>
    </row>
    <row r="279" spans="1:3" x14ac:dyDescent="0.25">
      <c r="A279" s="631">
        <v>1202225</v>
      </c>
      <c r="B279" s="632" t="s">
        <v>549</v>
      </c>
      <c r="C279" s="632">
        <v>5528</v>
      </c>
    </row>
    <row r="280" spans="1:3" x14ac:dyDescent="0.25">
      <c r="A280" s="631">
        <v>1202226</v>
      </c>
      <c r="B280" s="632" t="s">
        <v>549</v>
      </c>
      <c r="C280" s="632">
        <v>5528</v>
      </c>
    </row>
    <row r="281" spans="1:3" x14ac:dyDescent="0.25">
      <c r="A281" s="631">
        <v>1202227</v>
      </c>
      <c r="B281" s="632" t="s">
        <v>549</v>
      </c>
      <c r="C281" s="632">
        <v>5528</v>
      </c>
    </row>
    <row r="282" spans="1:3" x14ac:dyDescent="0.25">
      <c r="A282" s="631">
        <v>1202228</v>
      </c>
      <c r="B282" s="632" t="s">
        <v>549</v>
      </c>
      <c r="C282" s="632">
        <v>5528</v>
      </c>
    </row>
    <row r="283" spans="1:3" x14ac:dyDescent="0.25">
      <c r="A283" s="631">
        <v>1202311</v>
      </c>
      <c r="B283" s="632" t="s">
        <v>550</v>
      </c>
      <c r="C283" s="632">
        <v>5528</v>
      </c>
    </row>
    <row r="284" spans="1:3" x14ac:dyDescent="0.25">
      <c r="A284" s="631">
        <v>1202313</v>
      </c>
      <c r="B284" s="632" t="s">
        <v>550</v>
      </c>
      <c r="C284" s="632">
        <v>5528</v>
      </c>
    </row>
    <row r="285" spans="1:3" x14ac:dyDescent="0.25">
      <c r="A285" s="631">
        <v>1202314</v>
      </c>
      <c r="B285" s="632" t="s">
        <v>550</v>
      </c>
      <c r="C285" s="632">
        <v>5528</v>
      </c>
    </row>
    <row r="286" spans="1:3" x14ac:dyDescent="0.25">
      <c r="A286" s="631">
        <v>1202315</v>
      </c>
      <c r="B286" s="632" t="s">
        <v>550</v>
      </c>
      <c r="C286" s="632">
        <v>5528</v>
      </c>
    </row>
    <row r="287" spans="1:3" x14ac:dyDescent="0.25">
      <c r="A287" s="631">
        <v>1202316</v>
      </c>
      <c r="B287" s="632" t="s">
        <v>550</v>
      </c>
      <c r="C287" s="632">
        <v>5528</v>
      </c>
    </row>
    <row r="288" spans="1:3" x14ac:dyDescent="0.25">
      <c r="A288" s="631">
        <v>1202317</v>
      </c>
      <c r="B288" s="632" t="s">
        <v>550</v>
      </c>
      <c r="C288" s="632">
        <v>5528</v>
      </c>
    </row>
    <row r="289" spans="1:3" x14ac:dyDescent="0.25">
      <c r="A289" s="631">
        <v>1202318</v>
      </c>
      <c r="B289" s="632" t="s">
        <v>550</v>
      </c>
      <c r="C289" s="632">
        <v>5528</v>
      </c>
    </row>
    <row r="290" spans="1:3" x14ac:dyDescent="0.25">
      <c r="A290" s="631">
        <v>1202321</v>
      </c>
      <c r="B290" s="632" t="s">
        <v>550</v>
      </c>
      <c r="C290" s="632">
        <v>5528</v>
      </c>
    </row>
    <row r="291" spans="1:3" x14ac:dyDescent="0.25">
      <c r="A291" s="631">
        <v>1202323</v>
      </c>
      <c r="B291" s="632" t="s">
        <v>550</v>
      </c>
      <c r="C291" s="632">
        <v>5528</v>
      </c>
    </row>
    <row r="292" spans="1:3" x14ac:dyDescent="0.25">
      <c r="A292" s="631">
        <v>1202324</v>
      </c>
      <c r="B292" s="632" t="s">
        <v>550</v>
      </c>
      <c r="C292" s="632">
        <v>5528</v>
      </c>
    </row>
    <row r="293" spans="1:3" x14ac:dyDescent="0.25">
      <c r="A293" s="631">
        <v>1202325</v>
      </c>
      <c r="B293" s="632" t="s">
        <v>550</v>
      </c>
      <c r="C293" s="632">
        <v>5528</v>
      </c>
    </row>
    <row r="294" spans="1:3" x14ac:dyDescent="0.25">
      <c r="A294" s="631">
        <v>1202326</v>
      </c>
      <c r="B294" s="632" t="s">
        <v>550</v>
      </c>
      <c r="C294" s="632">
        <v>5528</v>
      </c>
    </row>
    <row r="295" spans="1:3" x14ac:dyDescent="0.25">
      <c r="A295" s="631">
        <v>1202327</v>
      </c>
      <c r="B295" s="632" t="s">
        <v>550</v>
      </c>
      <c r="C295" s="632">
        <v>5528</v>
      </c>
    </row>
    <row r="296" spans="1:3" x14ac:dyDescent="0.25">
      <c r="A296" s="631">
        <v>1202328</v>
      </c>
      <c r="B296" s="632" t="s">
        <v>550</v>
      </c>
      <c r="C296" s="632">
        <v>5528</v>
      </c>
    </row>
    <row r="297" spans="1:3" x14ac:dyDescent="0.25">
      <c r="A297" s="631">
        <v>1202411</v>
      </c>
      <c r="B297" s="632" t="s">
        <v>551</v>
      </c>
      <c r="C297" s="632">
        <v>5528</v>
      </c>
    </row>
    <row r="298" spans="1:3" x14ac:dyDescent="0.25">
      <c r="A298" s="631">
        <v>1202413</v>
      </c>
      <c r="B298" s="632" t="s">
        <v>551</v>
      </c>
      <c r="C298" s="632">
        <v>5528</v>
      </c>
    </row>
    <row r="299" spans="1:3" x14ac:dyDescent="0.25">
      <c r="A299" s="631">
        <v>1202414</v>
      </c>
      <c r="B299" s="632" t="s">
        <v>551</v>
      </c>
      <c r="C299" s="632">
        <v>5528</v>
      </c>
    </row>
    <row r="300" spans="1:3" x14ac:dyDescent="0.25">
      <c r="A300" s="631">
        <v>1202415</v>
      </c>
      <c r="B300" s="632" t="s">
        <v>551</v>
      </c>
      <c r="C300" s="632">
        <v>5528</v>
      </c>
    </row>
    <row r="301" spans="1:3" x14ac:dyDescent="0.25">
      <c r="A301" s="631">
        <v>1202416</v>
      </c>
      <c r="B301" s="632" t="s">
        <v>551</v>
      </c>
      <c r="C301" s="632">
        <v>5528</v>
      </c>
    </row>
    <row r="302" spans="1:3" x14ac:dyDescent="0.25">
      <c r="A302" s="631">
        <v>1202417</v>
      </c>
      <c r="B302" s="632" t="s">
        <v>551</v>
      </c>
      <c r="C302" s="632">
        <v>5528</v>
      </c>
    </row>
    <row r="303" spans="1:3" x14ac:dyDescent="0.25">
      <c r="A303" s="631">
        <v>1202418</v>
      </c>
      <c r="B303" s="632" t="s">
        <v>551</v>
      </c>
      <c r="C303" s="632">
        <v>5528</v>
      </c>
    </row>
    <row r="304" spans="1:3" x14ac:dyDescent="0.25">
      <c r="A304" s="631">
        <v>1202421</v>
      </c>
      <c r="B304" s="632" t="s">
        <v>551</v>
      </c>
      <c r="C304" s="632">
        <v>5528</v>
      </c>
    </row>
    <row r="305" spans="1:3" x14ac:dyDescent="0.25">
      <c r="A305" s="631">
        <v>1202423</v>
      </c>
      <c r="B305" s="632" t="s">
        <v>551</v>
      </c>
      <c r="C305" s="632">
        <v>5528</v>
      </c>
    </row>
    <row r="306" spans="1:3" x14ac:dyDescent="0.25">
      <c r="A306" s="631">
        <v>1202424</v>
      </c>
      <c r="B306" s="632" t="s">
        <v>551</v>
      </c>
      <c r="C306" s="632">
        <v>5528</v>
      </c>
    </row>
    <row r="307" spans="1:3" x14ac:dyDescent="0.25">
      <c r="A307" s="631">
        <v>1202425</v>
      </c>
      <c r="B307" s="632" t="s">
        <v>551</v>
      </c>
      <c r="C307" s="632">
        <v>5528</v>
      </c>
    </row>
    <row r="308" spans="1:3" x14ac:dyDescent="0.25">
      <c r="A308" s="631">
        <v>1202426</v>
      </c>
      <c r="B308" s="632" t="s">
        <v>551</v>
      </c>
      <c r="C308" s="632">
        <v>5528</v>
      </c>
    </row>
    <row r="309" spans="1:3" x14ac:dyDescent="0.25">
      <c r="A309" s="631">
        <v>1202427</v>
      </c>
      <c r="B309" s="632" t="s">
        <v>551</v>
      </c>
      <c r="C309" s="632">
        <v>5528</v>
      </c>
    </row>
    <row r="310" spans="1:3" x14ac:dyDescent="0.25">
      <c r="A310" s="631">
        <v>1202428</v>
      </c>
      <c r="B310" s="632" t="s">
        <v>551</v>
      </c>
      <c r="C310" s="632">
        <v>5528</v>
      </c>
    </row>
    <row r="311" spans="1:3" x14ac:dyDescent="0.25">
      <c r="A311" s="631">
        <v>1203111</v>
      </c>
      <c r="B311" s="632" t="s">
        <v>552</v>
      </c>
      <c r="C311" s="632">
        <v>5912</v>
      </c>
    </row>
    <row r="312" spans="1:3" x14ac:dyDescent="0.25">
      <c r="A312" s="631">
        <v>1203112</v>
      </c>
      <c r="B312" s="632" t="s">
        <v>552</v>
      </c>
      <c r="C312" s="632">
        <v>5912</v>
      </c>
    </row>
    <row r="313" spans="1:3" x14ac:dyDescent="0.25">
      <c r="A313" s="631">
        <v>1203113</v>
      </c>
      <c r="B313" s="632" t="s">
        <v>552</v>
      </c>
      <c r="C313" s="632">
        <v>5912</v>
      </c>
    </row>
    <row r="314" spans="1:3" x14ac:dyDescent="0.25">
      <c r="A314" s="631">
        <v>1203114</v>
      </c>
      <c r="B314" s="632" t="s">
        <v>552</v>
      </c>
      <c r="C314" s="632">
        <v>5912</v>
      </c>
    </row>
    <row r="315" spans="1:3" x14ac:dyDescent="0.25">
      <c r="A315" s="631">
        <v>1203115</v>
      </c>
      <c r="B315" s="632" t="s">
        <v>552</v>
      </c>
      <c r="C315" s="632">
        <v>5912</v>
      </c>
    </row>
    <row r="316" spans="1:3" x14ac:dyDescent="0.25">
      <c r="A316" s="631">
        <v>1203116</v>
      </c>
      <c r="B316" s="632" t="s">
        <v>552</v>
      </c>
      <c r="C316" s="632">
        <v>5912</v>
      </c>
    </row>
    <row r="317" spans="1:3" x14ac:dyDescent="0.25">
      <c r="A317" s="631">
        <v>1203117</v>
      </c>
      <c r="B317" s="632" t="s">
        <v>552</v>
      </c>
      <c r="C317" s="632">
        <v>5912</v>
      </c>
    </row>
    <row r="318" spans="1:3" x14ac:dyDescent="0.25">
      <c r="A318" s="631">
        <v>1203118</v>
      </c>
      <c r="B318" s="632" t="s">
        <v>552</v>
      </c>
      <c r="C318" s="632">
        <v>5912</v>
      </c>
    </row>
    <row r="319" spans="1:3" x14ac:dyDescent="0.25">
      <c r="A319" s="631">
        <v>1203121</v>
      </c>
      <c r="B319" s="632" t="s">
        <v>552</v>
      </c>
      <c r="C319" s="632">
        <v>5912</v>
      </c>
    </row>
    <row r="320" spans="1:3" x14ac:dyDescent="0.25">
      <c r="A320" s="631">
        <v>1203122</v>
      </c>
      <c r="B320" s="632" t="s">
        <v>552</v>
      </c>
      <c r="C320" s="632">
        <v>5912</v>
      </c>
    </row>
    <row r="321" spans="1:3" x14ac:dyDescent="0.25">
      <c r="A321" s="631">
        <v>1203123</v>
      </c>
      <c r="B321" s="632" t="s">
        <v>552</v>
      </c>
      <c r="C321" s="632">
        <v>5912</v>
      </c>
    </row>
    <row r="322" spans="1:3" x14ac:dyDescent="0.25">
      <c r="A322" s="631">
        <v>1203124</v>
      </c>
      <c r="B322" s="632" t="s">
        <v>552</v>
      </c>
      <c r="C322" s="632">
        <v>5912</v>
      </c>
    </row>
    <row r="323" spans="1:3" x14ac:dyDescent="0.25">
      <c r="A323" s="631">
        <v>1203125</v>
      </c>
      <c r="B323" s="632" t="s">
        <v>552</v>
      </c>
      <c r="C323" s="632">
        <v>5912</v>
      </c>
    </row>
    <row r="324" spans="1:3" x14ac:dyDescent="0.25">
      <c r="A324" s="631">
        <v>1203126</v>
      </c>
      <c r="B324" s="632" t="s">
        <v>552</v>
      </c>
      <c r="C324" s="632">
        <v>5912</v>
      </c>
    </row>
    <row r="325" spans="1:3" x14ac:dyDescent="0.25">
      <c r="A325" s="631">
        <v>1203127</v>
      </c>
      <c r="B325" s="632" t="s">
        <v>552</v>
      </c>
      <c r="C325" s="632">
        <v>5912</v>
      </c>
    </row>
    <row r="326" spans="1:3" x14ac:dyDescent="0.25">
      <c r="A326" s="631">
        <v>1203128</v>
      </c>
      <c r="B326" s="632" t="s">
        <v>552</v>
      </c>
      <c r="C326" s="632">
        <v>5912</v>
      </c>
    </row>
    <row r="327" spans="1:3" x14ac:dyDescent="0.25">
      <c r="A327" s="631">
        <v>1203211</v>
      </c>
      <c r="B327" s="632" t="s">
        <v>553</v>
      </c>
      <c r="C327" s="632">
        <v>6369.4</v>
      </c>
    </row>
    <row r="328" spans="1:3" x14ac:dyDescent="0.25">
      <c r="A328" s="631">
        <v>1203212</v>
      </c>
      <c r="B328" s="632" t="s">
        <v>553</v>
      </c>
      <c r="C328" s="632">
        <v>5912</v>
      </c>
    </row>
    <row r="329" spans="1:3" x14ac:dyDescent="0.25">
      <c r="A329" s="631">
        <v>1203213</v>
      </c>
      <c r="B329" s="632" t="s">
        <v>553</v>
      </c>
      <c r="C329" s="632">
        <v>5912</v>
      </c>
    </row>
    <row r="330" spans="1:3" x14ac:dyDescent="0.25">
      <c r="A330" s="631">
        <v>1203214</v>
      </c>
      <c r="B330" s="632" t="s">
        <v>553</v>
      </c>
      <c r="C330" s="632">
        <v>5770</v>
      </c>
    </row>
    <row r="331" spans="1:3" x14ac:dyDescent="0.25">
      <c r="A331" s="631">
        <v>1203215</v>
      </c>
      <c r="B331" s="632" t="s">
        <v>553</v>
      </c>
      <c r="C331" s="632">
        <v>5912</v>
      </c>
    </row>
    <row r="332" spans="1:3" x14ac:dyDescent="0.25">
      <c r="A332" s="631">
        <v>1203216</v>
      </c>
      <c r="B332" s="632" t="s">
        <v>553</v>
      </c>
      <c r="C332" s="632">
        <v>6303</v>
      </c>
    </row>
    <row r="333" spans="1:3" x14ac:dyDescent="0.25">
      <c r="A333" s="631">
        <v>1203217</v>
      </c>
      <c r="B333" s="632" t="s">
        <v>553</v>
      </c>
      <c r="C333" s="632">
        <v>5912</v>
      </c>
    </row>
    <row r="334" spans="1:3" x14ac:dyDescent="0.25">
      <c r="A334" s="631">
        <v>1203218</v>
      </c>
      <c r="B334" s="632" t="s">
        <v>553</v>
      </c>
      <c r="C334" s="632">
        <v>5912</v>
      </c>
    </row>
    <row r="335" spans="1:3" x14ac:dyDescent="0.25">
      <c r="A335" s="631">
        <v>1203221</v>
      </c>
      <c r="B335" s="632" t="s">
        <v>553</v>
      </c>
      <c r="C335" s="632">
        <v>5912</v>
      </c>
    </row>
    <row r="336" spans="1:3" x14ac:dyDescent="0.25">
      <c r="A336" s="631">
        <v>1203222</v>
      </c>
      <c r="B336" s="632" t="s">
        <v>553</v>
      </c>
      <c r="C336" s="632">
        <v>5912</v>
      </c>
    </row>
    <row r="337" spans="1:3" x14ac:dyDescent="0.25">
      <c r="A337" s="631">
        <v>1203223</v>
      </c>
      <c r="B337" s="632" t="s">
        <v>553</v>
      </c>
      <c r="C337" s="632">
        <v>5912</v>
      </c>
    </row>
    <row r="338" spans="1:3" x14ac:dyDescent="0.25">
      <c r="A338" s="631">
        <v>1203224</v>
      </c>
      <c r="B338" s="632" t="s">
        <v>553</v>
      </c>
      <c r="C338" s="632">
        <v>5912</v>
      </c>
    </row>
    <row r="339" spans="1:3" x14ac:dyDescent="0.25">
      <c r="A339" s="631" t="s">
        <v>4176</v>
      </c>
      <c r="B339" s="632" t="s">
        <v>553</v>
      </c>
      <c r="C339" s="632">
        <v>5780</v>
      </c>
    </row>
    <row r="340" spans="1:3" x14ac:dyDescent="0.25">
      <c r="A340" s="631">
        <v>1203225</v>
      </c>
      <c r="B340" s="632" t="s">
        <v>553</v>
      </c>
      <c r="C340" s="632">
        <v>5912</v>
      </c>
    </row>
    <row r="341" spans="1:3" x14ac:dyDescent="0.25">
      <c r="A341" s="631">
        <v>1203226</v>
      </c>
      <c r="B341" s="632" t="s">
        <v>553</v>
      </c>
      <c r="C341" s="632">
        <v>5912</v>
      </c>
    </row>
    <row r="342" spans="1:3" x14ac:dyDescent="0.25">
      <c r="A342" s="631">
        <v>1203227</v>
      </c>
      <c r="B342" s="632" t="s">
        <v>553</v>
      </c>
      <c r="C342" s="632">
        <v>5912</v>
      </c>
    </row>
    <row r="343" spans="1:3" x14ac:dyDescent="0.25">
      <c r="A343" s="631">
        <v>1203228</v>
      </c>
      <c r="B343" s="632" t="s">
        <v>553</v>
      </c>
      <c r="C343" s="632">
        <v>5912</v>
      </c>
    </row>
    <row r="344" spans="1:3" x14ac:dyDescent="0.25">
      <c r="A344" s="631">
        <v>1203229</v>
      </c>
      <c r="B344" s="632" t="s">
        <v>554</v>
      </c>
      <c r="C344" s="632">
        <v>5246</v>
      </c>
    </row>
    <row r="345" spans="1:3" x14ac:dyDescent="0.25">
      <c r="A345" s="631">
        <v>1203291</v>
      </c>
      <c r="B345" s="632" t="s">
        <v>555</v>
      </c>
      <c r="C345" s="632">
        <v>83</v>
      </c>
    </row>
    <row r="346" spans="1:3" x14ac:dyDescent="0.25">
      <c r="A346" s="631">
        <v>1203292</v>
      </c>
      <c r="B346" s="632" t="s">
        <v>556</v>
      </c>
      <c r="C346" s="632">
        <v>83</v>
      </c>
    </row>
    <row r="347" spans="1:3" x14ac:dyDescent="0.25">
      <c r="A347" s="631">
        <v>1203293</v>
      </c>
      <c r="B347" s="632" t="s">
        <v>557</v>
      </c>
      <c r="C347" s="632">
        <v>83</v>
      </c>
    </row>
    <row r="348" spans="1:3" x14ac:dyDescent="0.25">
      <c r="A348" s="631">
        <v>1203294</v>
      </c>
      <c r="B348" s="632" t="s">
        <v>558</v>
      </c>
      <c r="C348" s="632">
        <v>75</v>
      </c>
    </row>
    <row r="349" spans="1:3" x14ac:dyDescent="0.25">
      <c r="A349" s="631">
        <v>1203295</v>
      </c>
      <c r="B349" s="632" t="s">
        <v>559</v>
      </c>
      <c r="C349" s="632">
        <v>83</v>
      </c>
    </row>
    <row r="350" spans="1:3" x14ac:dyDescent="0.25">
      <c r="A350" s="631">
        <v>1203296</v>
      </c>
      <c r="B350" s="632" t="s">
        <v>560</v>
      </c>
      <c r="C350" s="632">
        <v>83</v>
      </c>
    </row>
    <row r="351" spans="1:3" x14ac:dyDescent="0.25">
      <c r="A351" s="631">
        <v>1203297</v>
      </c>
      <c r="B351" s="632" t="s">
        <v>561</v>
      </c>
      <c r="C351" s="632">
        <v>83</v>
      </c>
    </row>
    <row r="352" spans="1:3" x14ac:dyDescent="0.25">
      <c r="A352" s="631">
        <v>1203298</v>
      </c>
      <c r="B352" s="632" t="s">
        <v>562</v>
      </c>
      <c r="C352" s="632">
        <v>83</v>
      </c>
    </row>
    <row r="353" spans="1:3" x14ac:dyDescent="0.25">
      <c r="A353" s="631">
        <v>1203311</v>
      </c>
      <c r="B353" s="632" t="s">
        <v>563</v>
      </c>
      <c r="C353" s="632">
        <v>5912</v>
      </c>
    </row>
    <row r="354" spans="1:3" x14ac:dyDescent="0.25">
      <c r="A354" s="631">
        <v>1203312</v>
      </c>
      <c r="B354" s="632" t="s">
        <v>563</v>
      </c>
      <c r="C354" s="632">
        <v>5912</v>
      </c>
    </row>
    <row r="355" spans="1:3" x14ac:dyDescent="0.25">
      <c r="A355" s="631">
        <v>1203313</v>
      </c>
      <c r="B355" s="632" t="s">
        <v>563</v>
      </c>
      <c r="C355" s="632">
        <v>5912</v>
      </c>
    </row>
    <row r="356" spans="1:3" x14ac:dyDescent="0.25">
      <c r="A356" s="631">
        <v>1203314</v>
      </c>
      <c r="B356" s="632" t="s">
        <v>563</v>
      </c>
      <c r="C356" s="632">
        <v>5912</v>
      </c>
    </row>
    <row r="357" spans="1:3" x14ac:dyDescent="0.25">
      <c r="A357" s="631" t="s">
        <v>564</v>
      </c>
      <c r="B357" s="632" t="s">
        <v>565</v>
      </c>
      <c r="C357" s="632">
        <v>5512</v>
      </c>
    </row>
    <row r="358" spans="1:3" x14ac:dyDescent="0.25">
      <c r="A358" s="631">
        <v>1203315</v>
      </c>
      <c r="B358" s="632" t="s">
        <v>563</v>
      </c>
      <c r="C358" s="632">
        <v>5912</v>
      </c>
    </row>
    <row r="359" spans="1:3" x14ac:dyDescent="0.25">
      <c r="A359" s="631">
        <v>1203316</v>
      </c>
      <c r="B359" s="632" t="s">
        <v>563</v>
      </c>
      <c r="C359" s="632">
        <v>5912</v>
      </c>
    </row>
    <row r="360" spans="1:3" x14ac:dyDescent="0.25">
      <c r="A360" s="631">
        <v>1203317</v>
      </c>
      <c r="B360" s="632" t="s">
        <v>563</v>
      </c>
      <c r="C360" s="632">
        <v>5912</v>
      </c>
    </row>
    <row r="361" spans="1:3" x14ac:dyDescent="0.25">
      <c r="A361" s="631">
        <v>1203318</v>
      </c>
      <c r="B361" s="632" t="s">
        <v>563</v>
      </c>
      <c r="C361" s="632">
        <v>5912</v>
      </c>
    </row>
    <row r="362" spans="1:3" x14ac:dyDescent="0.25">
      <c r="A362" s="631">
        <v>1203321</v>
      </c>
      <c r="B362" s="632" t="s">
        <v>563</v>
      </c>
      <c r="C362" s="632">
        <v>5912</v>
      </c>
    </row>
    <row r="363" spans="1:3" x14ac:dyDescent="0.25">
      <c r="A363" s="631">
        <v>1203322</v>
      </c>
      <c r="B363" s="632" t="s">
        <v>563</v>
      </c>
      <c r="C363" s="632">
        <v>5912</v>
      </c>
    </row>
    <row r="364" spans="1:3" x14ac:dyDescent="0.25">
      <c r="A364" s="631">
        <v>1203323</v>
      </c>
      <c r="B364" s="632" t="s">
        <v>563</v>
      </c>
      <c r="C364" s="632">
        <v>5912</v>
      </c>
    </row>
    <row r="365" spans="1:3" x14ac:dyDescent="0.25">
      <c r="A365" s="631">
        <v>1203324</v>
      </c>
      <c r="B365" s="632" t="s">
        <v>563</v>
      </c>
      <c r="C365" s="632">
        <v>5912</v>
      </c>
    </row>
    <row r="366" spans="1:3" x14ac:dyDescent="0.25">
      <c r="A366" s="631">
        <v>1203325</v>
      </c>
      <c r="B366" s="632" t="s">
        <v>563</v>
      </c>
      <c r="C366" s="632">
        <v>5912</v>
      </c>
    </row>
    <row r="367" spans="1:3" x14ac:dyDescent="0.25">
      <c r="A367" s="631">
        <v>1203326</v>
      </c>
      <c r="B367" s="632" t="s">
        <v>563</v>
      </c>
      <c r="C367" s="632">
        <v>5912</v>
      </c>
    </row>
    <row r="368" spans="1:3" x14ac:dyDescent="0.25">
      <c r="A368" s="631">
        <v>1203327</v>
      </c>
      <c r="B368" s="632" t="s">
        <v>563</v>
      </c>
      <c r="C368" s="632">
        <v>5912</v>
      </c>
    </row>
    <row r="369" spans="1:3" x14ac:dyDescent="0.25">
      <c r="A369" s="631">
        <v>1203328</v>
      </c>
      <c r="B369" s="632" t="s">
        <v>563</v>
      </c>
      <c r="C369" s="632">
        <v>5912</v>
      </c>
    </row>
    <row r="370" spans="1:3" x14ac:dyDescent="0.25">
      <c r="A370" s="631">
        <v>1203411</v>
      </c>
      <c r="B370" s="632" t="s">
        <v>566</v>
      </c>
      <c r="C370" s="632">
        <v>5912</v>
      </c>
    </row>
    <row r="371" spans="1:3" x14ac:dyDescent="0.25">
      <c r="A371" s="631">
        <v>1203412</v>
      </c>
      <c r="B371" s="632" t="s">
        <v>566</v>
      </c>
      <c r="C371" s="632">
        <v>5912</v>
      </c>
    </row>
    <row r="372" spans="1:3" x14ac:dyDescent="0.25">
      <c r="A372" s="631">
        <v>1203413</v>
      </c>
      <c r="B372" s="632" t="s">
        <v>566</v>
      </c>
      <c r="C372" s="632">
        <v>5912</v>
      </c>
    </row>
    <row r="373" spans="1:3" x14ac:dyDescent="0.25">
      <c r="A373" s="631">
        <v>1203414</v>
      </c>
      <c r="B373" s="632" t="s">
        <v>566</v>
      </c>
      <c r="C373" s="632">
        <v>5912</v>
      </c>
    </row>
    <row r="374" spans="1:3" x14ac:dyDescent="0.25">
      <c r="A374" s="631">
        <v>1203415</v>
      </c>
      <c r="B374" s="632" t="s">
        <v>566</v>
      </c>
      <c r="C374" s="632">
        <v>5912</v>
      </c>
    </row>
    <row r="375" spans="1:3" x14ac:dyDescent="0.25">
      <c r="A375" s="631">
        <v>1203416</v>
      </c>
      <c r="B375" s="632" t="s">
        <v>566</v>
      </c>
      <c r="C375" s="632">
        <v>5912</v>
      </c>
    </row>
    <row r="376" spans="1:3" x14ac:dyDescent="0.25">
      <c r="A376" s="631">
        <v>1203417</v>
      </c>
      <c r="B376" s="632" t="s">
        <v>566</v>
      </c>
      <c r="C376" s="632">
        <v>5912</v>
      </c>
    </row>
    <row r="377" spans="1:3" x14ac:dyDescent="0.25">
      <c r="A377" s="631">
        <v>1203418</v>
      </c>
      <c r="B377" s="632" t="s">
        <v>566</v>
      </c>
      <c r="C377" s="632">
        <v>5912</v>
      </c>
    </row>
    <row r="378" spans="1:3" x14ac:dyDescent="0.25">
      <c r="A378" s="631">
        <v>1203421</v>
      </c>
      <c r="B378" s="632" t="s">
        <v>566</v>
      </c>
      <c r="C378" s="632">
        <v>5912</v>
      </c>
    </row>
    <row r="379" spans="1:3" x14ac:dyDescent="0.25">
      <c r="A379" s="631">
        <v>1203422</v>
      </c>
      <c r="B379" s="632" t="s">
        <v>566</v>
      </c>
      <c r="C379" s="632">
        <v>5912</v>
      </c>
    </row>
    <row r="380" spans="1:3" x14ac:dyDescent="0.25">
      <c r="A380" s="631">
        <v>1203423</v>
      </c>
      <c r="B380" s="632" t="s">
        <v>566</v>
      </c>
      <c r="C380" s="632">
        <v>5912</v>
      </c>
    </row>
    <row r="381" spans="1:3" x14ac:dyDescent="0.25">
      <c r="A381" s="631">
        <v>1203424</v>
      </c>
      <c r="B381" s="632" t="s">
        <v>566</v>
      </c>
      <c r="C381" s="632">
        <v>5912</v>
      </c>
    </row>
    <row r="382" spans="1:3" x14ac:dyDescent="0.25">
      <c r="A382" s="631">
        <v>1203425</v>
      </c>
      <c r="B382" s="632" t="s">
        <v>566</v>
      </c>
      <c r="C382" s="632">
        <v>6391</v>
      </c>
    </row>
    <row r="383" spans="1:3" x14ac:dyDescent="0.25">
      <c r="A383" s="631">
        <v>1203426</v>
      </c>
      <c r="B383" s="632" t="s">
        <v>566</v>
      </c>
      <c r="C383" s="632">
        <v>5912</v>
      </c>
    </row>
    <row r="384" spans="1:3" x14ac:dyDescent="0.25">
      <c r="A384" s="631">
        <v>1203427</v>
      </c>
      <c r="B384" s="632" t="s">
        <v>566</v>
      </c>
      <c r="C384" s="632">
        <v>5912</v>
      </c>
    </row>
    <row r="385" spans="1:3" x14ac:dyDescent="0.25">
      <c r="A385" s="631">
        <v>1203428</v>
      </c>
      <c r="B385" s="632" t="s">
        <v>566</v>
      </c>
      <c r="C385" s="632">
        <v>5912</v>
      </c>
    </row>
    <row r="386" spans="1:3" x14ac:dyDescent="0.25">
      <c r="A386" s="631">
        <v>1204111</v>
      </c>
      <c r="B386" s="632" t="s">
        <v>567</v>
      </c>
      <c r="C386" s="632">
        <v>5912</v>
      </c>
    </row>
    <row r="387" spans="1:3" x14ac:dyDescent="0.25">
      <c r="A387" s="631">
        <v>1204112</v>
      </c>
      <c r="B387" s="632" t="s">
        <v>567</v>
      </c>
      <c r="C387" s="632">
        <v>5912</v>
      </c>
    </row>
    <row r="388" spans="1:3" x14ac:dyDescent="0.25">
      <c r="A388" s="631">
        <v>1204113</v>
      </c>
      <c r="B388" s="632" t="s">
        <v>567</v>
      </c>
      <c r="C388" s="632">
        <v>5912</v>
      </c>
    </row>
    <row r="389" spans="1:3" x14ac:dyDescent="0.25">
      <c r="A389" s="631">
        <v>1204114</v>
      </c>
      <c r="B389" s="632" t="s">
        <v>567</v>
      </c>
      <c r="C389" s="632">
        <v>5912</v>
      </c>
    </row>
    <row r="390" spans="1:3" x14ac:dyDescent="0.25">
      <c r="A390" s="631">
        <v>1204115</v>
      </c>
      <c r="B390" s="632" t="s">
        <v>567</v>
      </c>
      <c r="C390" s="632">
        <v>5912</v>
      </c>
    </row>
    <row r="391" spans="1:3" x14ac:dyDescent="0.25">
      <c r="A391" s="631">
        <v>1204116</v>
      </c>
      <c r="B391" s="632" t="s">
        <v>567</v>
      </c>
      <c r="C391" s="632">
        <v>5912</v>
      </c>
    </row>
    <row r="392" spans="1:3" x14ac:dyDescent="0.25">
      <c r="A392" s="631">
        <v>1204117</v>
      </c>
      <c r="B392" s="632" t="s">
        <v>567</v>
      </c>
      <c r="C392" s="632">
        <v>5912</v>
      </c>
    </row>
    <row r="393" spans="1:3" x14ac:dyDescent="0.25">
      <c r="A393" s="631">
        <v>1204118</v>
      </c>
      <c r="B393" s="632" t="s">
        <v>567</v>
      </c>
      <c r="C393" s="632">
        <v>5912</v>
      </c>
    </row>
    <row r="394" spans="1:3" x14ac:dyDescent="0.25">
      <c r="A394" s="631">
        <v>1204121</v>
      </c>
      <c r="B394" s="632" t="s">
        <v>567</v>
      </c>
      <c r="C394" s="632">
        <v>5912</v>
      </c>
    </row>
    <row r="395" spans="1:3" x14ac:dyDescent="0.25">
      <c r="A395" s="631">
        <v>1204122</v>
      </c>
      <c r="B395" s="632" t="s">
        <v>567</v>
      </c>
      <c r="C395" s="632">
        <v>5912</v>
      </c>
    </row>
    <row r="396" spans="1:3" x14ac:dyDescent="0.25">
      <c r="A396" s="631">
        <v>1204123</v>
      </c>
      <c r="B396" s="632" t="s">
        <v>567</v>
      </c>
      <c r="C396" s="632">
        <v>5912</v>
      </c>
    </row>
    <row r="397" spans="1:3" x14ac:dyDescent="0.25">
      <c r="A397" s="631">
        <v>1204124</v>
      </c>
      <c r="B397" s="632" t="s">
        <v>567</v>
      </c>
      <c r="C397" s="632">
        <v>5912</v>
      </c>
    </row>
    <row r="398" spans="1:3" x14ac:dyDescent="0.25">
      <c r="A398" s="631">
        <v>1204125</v>
      </c>
      <c r="B398" s="632" t="s">
        <v>567</v>
      </c>
      <c r="C398" s="632">
        <v>5912</v>
      </c>
    </row>
    <row r="399" spans="1:3" x14ac:dyDescent="0.25">
      <c r="A399" s="631">
        <v>1204126</v>
      </c>
      <c r="B399" s="632" t="s">
        <v>567</v>
      </c>
      <c r="C399" s="632">
        <v>5912</v>
      </c>
    </row>
    <row r="400" spans="1:3" x14ac:dyDescent="0.25">
      <c r="A400" s="631">
        <v>1204127</v>
      </c>
      <c r="B400" s="632" t="s">
        <v>567</v>
      </c>
      <c r="C400" s="632">
        <v>5912</v>
      </c>
    </row>
    <row r="401" spans="1:3" x14ac:dyDescent="0.25">
      <c r="A401" s="631">
        <v>1204128</v>
      </c>
      <c r="B401" s="632" t="s">
        <v>567</v>
      </c>
      <c r="C401" s="632">
        <v>5912</v>
      </c>
    </row>
    <row r="402" spans="1:3" x14ac:dyDescent="0.25">
      <c r="A402" s="631">
        <v>1204211</v>
      </c>
      <c r="B402" s="632" t="s">
        <v>568</v>
      </c>
      <c r="C402" s="632">
        <v>5912</v>
      </c>
    </row>
    <row r="403" spans="1:3" x14ac:dyDescent="0.25">
      <c r="A403" s="631">
        <v>1204212</v>
      </c>
      <c r="B403" s="632" t="s">
        <v>568</v>
      </c>
      <c r="C403" s="632">
        <v>5912</v>
      </c>
    </row>
    <row r="404" spans="1:3" x14ac:dyDescent="0.25">
      <c r="A404" s="631">
        <v>1204213</v>
      </c>
      <c r="B404" s="632" t="s">
        <v>568</v>
      </c>
      <c r="C404" s="632">
        <v>5912</v>
      </c>
    </row>
    <row r="405" spans="1:3" x14ac:dyDescent="0.25">
      <c r="A405" s="631">
        <v>1204214</v>
      </c>
      <c r="B405" s="632" t="s">
        <v>568</v>
      </c>
      <c r="C405" s="632">
        <v>5912</v>
      </c>
    </row>
    <row r="406" spans="1:3" x14ac:dyDescent="0.25">
      <c r="A406" s="631">
        <v>1204215</v>
      </c>
      <c r="B406" s="632" t="s">
        <v>568</v>
      </c>
      <c r="C406" s="632">
        <v>5912</v>
      </c>
    </row>
    <row r="407" spans="1:3" x14ac:dyDescent="0.25">
      <c r="A407" s="631">
        <v>1204216</v>
      </c>
      <c r="B407" s="632" t="s">
        <v>568</v>
      </c>
      <c r="C407" s="632">
        <v>5912</v>
      </c>
    </row>
    <row r="408" spans="1:3" x14ac:dyDescent="0.25">
      <c r="A408" s="631">
        <v>1204217</v>
      </c>
      <c r="B408" s="632" t="s">
        <v>568</v>
      </c>
      <c r="C408" s="632">
        <v>5912</v>
      </c>
    </row>
    <row r="409" spans="1:3" x14ac:dyDescent="0.25">
      <c r="A409" s="631">
        <v>1204218</v>
      </c>
      <c r="B409" s="632" t="s">
        <v>568</v>
      </c>
      <c r="C409" s="632">
        <v>5912</v>
      </c>
    </row>
    <row r="410" spans="1:3" x14ac:dyDescent="0.25">
      <c r="A410" s="631">
        <v>1204221</v>
      </c>
      <c r="B410" s="632" t="s">
        <v>568</v>
      </c>
      <c r="C410" s="632">
        <v>5912</v>
      </c>
    </row>
    <row r="411" spans="1:3" x14ac:dyDescent="0.25">
      <c r="A411" s="631">
        <v>1204222</v>
      </c>
      <c r="B411" s="632" t="s">
        <v>568</v>
      </c>
      <c r="C411" s="632">
        <v>5912</v>
      </c>
    </row>
    <row r="412" spans="1:3" x14ac:dyDescent="0.25">
      <c r="A412" s="631">
        <v>1204223</v>
      </c>
      <c r="B412" s="632" t="s">
        <v>568</v>
      </c>
      <c r="C412" s="632">
        <v>5912</v>
      </c>
    </row>
    <row r="413" spans="1:3" x14ac:dyDescent="0.25">
      <c r="A413" s="631">
        <v>1204224</v>
      </c>
      <c r="B413" s="632" t="s">
        <v>568</v>
      </c>
      <c r="C413" s="632">
        <v>5912</v>
      </c>
    </row>
    <row r="414" spans="1:3" x14ac:dyDescent="0.25">
      <c r="A414" s="631">
        <v>1204225</v>
      </c>
      <c r="B414" s="632" t="s">
        <v>568</v>
      </c>
      <c r="C414" s="632">
        <v>5912</v>
      </c>
    </row>
    <row r="415" spans="1:3" x14ac:dyDescent="0.25">
      <c r="A415" s="631">
        <v>1204226</v>
      </c>
      <c r="B415" s="632" t="s">
        <v>568</v>
      </c>
      <c r="C415" s="632">
        <v>5912</v>
      </c>
    </row>
    <row r="416" spans="1:3" x14ac:dyDescent="0.25">
      <c r="A416" s="631">
        <v>1204227</v>
      </c>
      <c r="B416" s="632" t="s">
        <v>568</v>
      </c>
      <c r="C416" s="632">
        <v>5912</v>
      </c>
    </row>
    <row r="417" spans="1:3" x14ac:dyDescent="0.25">
      <c r="A417" s="631">
        <v>1204228</v>
      </c>
      <c r="B417" s="632" t="s">
        <v>568</v>
      </c>
      <c r="C417" s="632">
        <v>5912</v>
      </c>
    </row>
    <row r="418" spans="1:3" x14ac:dyDescent="0.25">
      <c r="A418" s="631">
        <v>1204311</v>
      </c>
      <c r="B418" s="632" t="s">
        <v>569</v>
      </c>
      <c r="C418" s="632">
        <v>5912</v>
      </c>
    </row>
    <row r="419" spans="1:3" x14ac:dyDescent="0.25">
      <c r="A419" s="631">
        <v>1204312</v>
      </c>
      <c r="B419" s="632" t="s">
        <v>569</v>
      </c>
      <c r="C419" s="632">
        <v>5912</v>
      </c>
    </row>
    <row r="420" spans="1:3" x14ac:dyDescent="0.25">
      <c r="A420" s="631">
        <v>1204313</v>
      </c>
      <c r="B420" s="632" t="s">
        <v>569</v>
      </c>
      <c r="C420" s="632">
        <v>5912</v>
      </c>
    </row>
    <row r="421" spans="1:3" x14ac:dyDescent="0.25">
      <c r="A421" s="631">
        <v>1204314</v>
      </c>
      <c r="B421" s="632" t="s">
        <v>569</v>
      </c>
      <c r="C421" s="632">
        <v>5912</v>
      </c>
    </row>
    <row r="422" spans="1:3" x14ac:dyDescent="0.25">
      <c r="A422" s="631">
        <v>1204315</v>
      </c>
      <c r="B422" s="632" t="s">
        <v>569</v>
      </c>
      <c r="C422" s="632">
        <v>5912</v>
      </c>
    </row>
    <row r="423" spans="1:3" x14ac:dyDescent="0.25">
      <c r="A423" s="631">
        <v>1204316</v>
      </c>
      <c r="B423" s="632" t="s">
        <v>569</v>
      </c>
      <c r="C423" s="632">
        <v>5912</v>
      </c>
    </row>
    <row r="424" spans="1:3" x14ac:dyDescent="0.25">
      <c r="A424" s="631">
        <v>1204317</v>
      </c>
      <c r="B424" s="632" t="s">
        <v>569</v>
      </c>
      <c r="C424" s="632">
        <v>5912</v>
      </c>
    </row>
    <row r="425" spans="1:3" x14ac:dyDescent="0.25">
      <c r="A425" s="631">
        <v>1204318</v>
      </c>
      <c r="B425" s="632" t="s">
        <v>569</v>
      </c>
      <c r="C425" s="632">
        <v>5912</v>
      </c>
    </row>
    <row r="426" spans="1:3" x14ac:dyDescent="0.25">
      <c r="A426" s="631">
        <v>1204321</v>
      </c>
      <c r="B426" s="632" t="s">
        <v>569</v>
      </c>
      <c r="C426" s="632">
        <v>5912</v>
      </c>
    </row>
    <row r="427" spans="1:3" x14ac:dyDescent="0.25">
      <c r="A427" s="631">
        <v>1204322</v>
      </c>
      <c r="B427" s="632" t="s">
        <v>569</v>
      </c>
      <c r="C427" s="632">
        <v>5912</v>
      </c>
    </row>
    <row r="428" spans="1:3" x14ac:dyDescent="0.25">
      <c r="A428" s="631">
        <v>1204323</v>
      </c>
      <c r="B428" s="632" t="s">
        <v>569</v>
      </c>
      <c r="C428" s="632">
        <v>5912</v>
      </c>
    </row>
    <row r="429" spans="1:3" x14ac:dyDescent="0.25">
      <c r="A429" s="631">
        <v>1204324</v>
      </c>
      <c r="B429" s="632" t="s">
        <v>569</v>
      </c>
      <c r="C429" s="632">
        <v>5912</v>
      </c>
    </row>
    <row r="430" spans="1:3" x14ac:dyDescent="0.25">
      <c r="A430" s="631">
        <v>1204325</v>
      </c>
      <c r="B430" s="632" t="s">
        <v>569</v>
      </c>
      <c r="C430" s="632">
        <v>5912</v>
      </c>
    </row>
    <row r="431" spans="1:3" x14ac:dyDescent="0.25">
      <c r="A431" s="631">
        <v>1204326</v>
      </c>
      <c r="B431" s="632" t="s">
        <v>569</v>
      </c>
      <c r="C431" s="632">
        <v>5912</v>
      </c>
    </row>
    <row r="432" spans="1:3" x14ac:dyDescent="0.25">
      <c r="A432" s="631">
        <v>1204327</v>
      </c>
      <c r="B432" s="632" t="s">
        <v>569</v>
      </c>
      <c r="C432" s="632">
        <v>5912</v>
      </c>
    </row>
    <row r="433" spans="1:3" x14ac:dyDescent="0.25">
      <c r="A433" s="631">
        <v>1204328</v>
      </c>
      <c r="B433" s="632" t="s">
        <v>569</v>
      </c>
      <c r="C433" s="632">
        <v>5832</v>
      </c>
    </row>
    <row r="434" spans="1:3" x14ac:dyDescent="0.25">
      <c r="A434" s="631">
        <v>1204411</v>
      </c>
      <c r="B434" s="632" t="s">
        <v>570</v>
      </c>
      <c r="C434" s="632">
        <v>5912</v>
      </c>
    </row>
    <row r="435" spans="1:3" x14ac:dyDescent="0.25">
      <c r="A435" s="631">
        <v>1204412</v>
      </c>
      <c r="B435" s="632" t="s">
        <v>570</v>
      </c>
      <c r="C435" s="632">
        <v>5912</v>
      </c>
    </row>
    <row r="436" spans="1:3" x14ac:dyDescent="0.25">
      <c r="A436" s="631">
        <v>1204413</v>
      </c>
      <c r="B436" s="632" t="s">
        <v>570</v>
      </c>
      <c r="C436" s="632">
        <v>5912</v>
      </c>
    </row>
    <row r="437" spans="1:3" x14ac:dyDescent="0.25">
      <c r="A437" s="631">
        <v>1204414</v>
      </c>
      <c r="B437" s="632" t="s">
        <v>570</v>
      </c>
      <c r="C437" s="632">
        <v>5912</v>
      </c>
    </row>
    <row r="438" spans="1:3" x14ac:dyDescent="0.25">
      <c r="A438" s="631">
        <v>1204415</v>
      </c>
      <c r="B438" s="632" t="s">
        <v>570</v>
      </c>
      <c r="C438" s="632">
        <v>5929</v>
      </c>
    </row>
    <row r="439" spans="1:3" x14ac:dyDescent="0.25">
      <c r="A439" s="631">
        <v>1204416</v>
      </c>
      <c r="B439" s="632" t="s">
        <v>570</v>
      </c>
      <c r="C439" s="632">
        <v>5912</v>
      </c>
    </row>
    <row r="440" spans="1:3" x14ac:dyDescent="0.25">
      <c r="A440" s="631">
        <v>1204417</v>
      </c>
      <c r="B440" s="632" t="s">
        <v>570</v>
      </c>
      <c r="C440" s="632">
        <v>5912</v>
      </c>
    </row>
    <row r="441" spans="1:3" x14ac:dyDescent="0.25">
      <c r="A441" s="631">
        <v>1204418</v>
      </c>
      <c r="B441" s="632" t="s">
        <v>570</v>
      </c>
      <c r="C441" s="632">
        <v>5912</v>
      </c>
    </row>
    <row r="442" spans="1:3" x14ac:dyDescent="0.25">
      <c r="A442" s="631">
        <v>1204421</v>
      </c>
      <c r="B442" s="632" t="s">
        <v>570</v>
      </c>
      <c r="C442" s="632">
        <v>5912</v>
      </c>
    </row>
    <row r="443" spans="1:3" x14ac:dyDescent="0.25">
      <c r="A443" s="631">
        <v>1204422</v>
      </c>
      <c r="B443" s="632" t="s">
        <v>570</v>
      </c>
      <c r="C443" s="632">
        <v>5912</v>
      </c>
    </row>
    <row r="444" spans="1:3" x14ac:dyDescent="0.25">
      <c r="A444" s="631">
        <v>1204423</v>
      </c>
      <c r="B444" s="632" t="s">
        <v>570</v>
      </c>
      <c r="C444" s="632">
        <v>5912</v>
      </c>
    </row>
    <row r="445" spans="1:3" x14ac:dyDescent="0.25">
      <c r="A445" s="631">
        <v>1204424</v>
      </c>
      <c r="B445" s="632" t="s">
        <v>570</v>
      </c>
      <c r="C445" s="632">
        <v>5912</v>
      </c>
    </row>
    <row r="446" spans="1:3" x14ac:dyDescent="0.25">
      <c r="A446" s="631">
        <v>1204425</v>
      </c>
      <c r="B446" s="632" t="s">
        <v>570</v>
      </c>
      <c r="C446" s="632">
        <v>5912</v>
      </c>
    </row>
    <row r="447" spans="1:3" x14ac:dyDescent="0.25">
      <c r="A447" s="631">
        <v>1204426</v>
      </c>
      <c r="B447" s="632" t="s">
        <v>570</v>
      </c>
      <c r="C447" s="632">
        <v>5912</v>
      </c>
    </row>
    <row r="448" spans="1:3" x14ac:dyDescent="0.25">
      <c r="A448" s="631">
        <v>1204427</v>
      </c>
      <c r="B448" s="632" t="s">
        <v>570</v>
      </c>
      <c r="C448" s="632">
        <v>5912</v>
      </c>
    </row>
    <row r="449" spans="1:5" x14ac:dyDescent="0.25">
      <c r="A449" s="631">
        <v>1204428</v>
      </c>
      <c r="B449" s="632" t="s">
        <v>570</v>
      </c>
      <c r="C449" s="632">
        <v>5929</v>
      </c>
    </row>
    <row r="450" spans="1:5" x14ac:dyDescent="0.25">
      <c r="A450" s="631">
        <v>1204517</v>
      </c>
      <c r="B450" s="632" t="s">
        <v>569</v>
      </c>
      <c r="C450" s="632">
        <v>5912</v>
      </c>
    </row>
    <row r="451" spans="1:5" x14ac:dyDescent="0.25">
      <c r="A451" s="631">
        <v>1204527</v>
      </c>
      <c r="B451" s="632" t="s">
        <v>569</v>
      </c>
      <c r="C451" s="632">
        <v>5912</v>
      </c>
    </row>
    <row r="452" spans="1:5" x14ac:dyDescent="0.25">
      <c r="A452" s="631">
        <v>1205416</v>
      </c>
      <c r="B452" s="632" t="s">
        <v>571</v>
      </c>
      <c r="C452" s="632">
        <v>4619</v>
      </c>
    </row>
    <row r="453" spans="1:5" x14ac:dyDescent="0.25">
      <c r="A453" s="631">
        <v>1300000</v>
      </c>
      <c r="B453" s="632" t="s">
        <v>572</v>
      </c>
      <c r="C453" s="632">
        <v>1825</v>
      </c>
    </row>
    <row r="454" spans="1:5" x14ac:dyDescent="0.25">
      <c r="A454" s="631" t="s">
        <v>573</v>
      </c>
      <c r="B454" s="632" t="s">
        <v>574</v>
      </c>
      <c r="C454" s="632">
        <v>1861</v>
      </c>
    </row>
    <row r="455" spans="1:5" x14ac:dyDescent="0.25">
      <c r="A455" s="631">
        <v>1300001</v>
      </c>
      <c r="B455" s="632" t="s">
        <v>575</v>
      </c>
      <c r="C455" s="632">
        <v>2390</v>
      </c>
    </row>
    <row r="456" spans="1:5" x14ac:dyDescent="0.25">
      <c r="A456" s="631">
        <v>1300002</v>
      </c>
      <c r="B456" s="632" t="s">
        <v>576</v>
      </c>
      <c r="C456" s="632">
        <v>2031</v>
      </c>
    </row>
    <row r="457" spans="1:5" x14ac:dyDescent="0.25">
      <c r="A457" s="631">
        <v>1300003</v>
      </c>
      <c r="B457" s="632" t="s">
        <v>577</v>
      </c>
      <c r="C457" s="632">
        <v>2221</v>
      </c>
    </row>
    <row r="458" spans="1:5" x14ac:dyDescent="0.25">
      <c r="A458" s="631">
        <v>1310000</v>
      </c>
      <c r="B458" s="632" t="s">
        <v>578</v>
      </c>
      <c r="C458" s="632">
        <v>1825</v>
      </c>
    </row>
    <row r="459" spans="1:5" x14ac:dyDescent="0.25">
      <c r="A459" s="631" t="s">
        <v>579</v>
      </c>
      <c r="B459" s="632" t="s">
        <v>580</v>
      </c>
      <c r="C459" s="632">
        <v>1861</v>
      </c>
    </row>
    <row r="460" spans="1:5" x14ac:dyDescent="0.25">
      <c r="A460" s="631">
        <v>1310001</v>
      </c>
      <c r="B460" s="632" t="s">
        <v>581</v>
      </c>
      <c r="C460" s="632">
        <v>2390</v>
      </c>
      <c r="E460" s="2">
        <v>3302336</v>
      </c>
    </row>
    <row r="461" spans="1:5" x14ac:dyDescent="0.25">
      <c r="A461" s="631">
        <v>1310002</v>
      </c>
      <c r="B461" s="632" t="s">
        <v>582</v>
      </c>
      <c r="C461" s="632">
        <v>2031</v>
      </c>
      <c r="E461" t="s">
        <v>4466</v>
      </c>
    </row>
    <row r="462" spans="1:5" x14ac:dyDescent="0.25">
      <c r="A462" s="631">
        <v>1320000</v>
      </c>
      <c r="B462" s="632" t="s">
        <v>583</v>
      </c>
      <c r="C462" s="632">
        <v>1825</v>
      </c>
    </row>
    <row r="463" spans="1:5" x14ac:dyDescent="0.25">
      <c r="A463" s="631">
        <v>1320001</v>
      </c>
      <c r="B463" s="632" t="s">
        <v>584</v>
      </c>
      <c r="C463" s="632">
        <v>1825</v>
      </c>
    </row>
    <row r="464" spans="1:5" x14ac:dyDescent="0.25">
      <c r="A464" s="631">
        <v>1700000</v>
      </c>
      <c r="B464" s="632" t="s">
        <v>585</v>
      </c>
      <c r="C464" s="632">
        <v>0</v>
      </c>
    </row>
    <row r="465" spans="1:3" x14ac:dyDescent="0.25">
      <c r="A465" s="631">
        <v>1700010</v>
      </c>
      <c r="B465" s="632" t="s">
        <v>586</v>
      </c>
      <c r="C465" s="632">
        <v>330</v>
      </c>
    </row>
    <row r="466" spans="1:3" x14ac:dyDescent="0.25">
      <c r="A466" s="631">
        <v>1700710</v>
      </c>
      <c r="B466" s="632" t="s">
        <v>587</v>
      </c>
      <c r="C466" s="632">
        <v>448</v>
      </c>
    </row>
    <row r="467" spans="1:3" x14ac:dyDescent="0.25">
      <c r="A467" s="631">
        <v>1902011</v>
      </c>
      <c r="B467" s="632" t="s">
        <v>588</v>
      </c>
      <c r="C467" s="632">
        <v>1030</v>
      </c>
    </row>
    <row r="468" spans="1:3" x14ac:dyDescent="0.25">
      <c r="A468" s="631">
        <v>1902211</v>
      </c>
      <c r="B468" s="632" t="s">
        <v>589</v>
      </c>
      <c r="C468" s="632">
        <v>1030</v>
      </c>
    </row>
    <row r="469" spans="1:3" x14ac:dyDescent="0.25">
      <c r="A469" s="631">
        <v>1902401</v>
      </c>
      <c r="B469" s="632" t="s">
        <v>590</v>
      </c>
      <c r="C469" s="632">
        <v>1126</v>
      </c>
    </row>
    <row r="470" spans="1:3" x14ac:dyDescent="0.25">
      <c r="A470" s="631">
        <v>1902403</v>
      </c>
      <c r="B470" s="632" t="s">
        <v>591</v>
      </c>
      <c r="C470" s="632">
        <v>7</v>
      </c>
    </row>
    <row r="471" spans="1:3" x14ac:dyDescent="0.25">
      <c r="A471" s="633">
        <v>1902411</v>
      </c>
      <c r="B471" s="632" t="s">
        <v>592</v>
      </c>
      <c r="C471" s="632">
        <v>1045</v>
      </c>
    </row>
    <row r="472" spans="1:3" x14ac:dyDescent="0.25">
      <c r="A472" s="631">
        <v>1902421</v>
      </c>
      <c r="B472" s="632" t="s">
        <v>4177</v>
      </c>
      <c r="C472" s="632">
        <v>1104</v>
      </c>
    </row>
    <row r="473" spans="1:3" x14ac:dyDescent="0.25">
      <c r="A473" s="631">
        <v>1902430</v>
      </c>
      <c r="B473" s="632" t="s">
        <v>593</v>
      </c>
      <c r="C473" s="632">
        <v>710</v>
      </c>
    </row>
    <row r="474" spans="1:3" x14ac:dyDescent="0.25">
      <c r="A474" s="631">
        <v>1902511</v>
      </c>
      <c r="B474" s="632" t="s">
        <v>594</v>
      </c>
      <c r="C474" s="632">
        <v>1133</v>
      </c>
    </row>
    <row r="475" spans="1:3" x14ac:dyDescent="0.25">
      <c r="A475" s="631">
        <v>1902611</v>
      </c>
      <c r="B475" s="632" t="s">
        <v>595</v>
      </c>
      <c r="C475" s="632">
        <v>1236</v>
      </c>
    </row>
    <row r="476" spans="1:3" x14ac:dyDescent="0.25">
      <c r="A476" s="631">
        <v>1902711</v>
      </c>
      <c r="B476" s="632" t="s">
        <v>4178</v>
      </c>
      <c r="C476" s="632">
        <v>900</v>
      </c>
    </row>
    <row r="477" spans="1:3" x14ac:dyDescent="0.25">
      <c r="A477" s="631">
        <v>1903060</v>
      </c>
      <c r="B477" s="632" t="s">
        <v>596</v>
      </c>
      <c r="C477" s="632">
        <v>1326</v>
      </c>
    </row>
    <row r="478" spans="1:3" x14ac:dyDescent="0.25">
      <c r="A478" s="631">
        <v>1903070</v>
      </c>
      <c r="B478" s="632" t="s">
        <v>597</v>
      </c>
      <c r="C478" s="632">
        <v>1326</v>
      </c>
    </row>
    <row r="479" spans="1:3" x14ac:dyDescent="0.25">
      <c r="A479" s="631">
        <v>1903080</v>
      </c>
      <c r="B479" s="632" t="s">
        <v>598</v>
      </c>
      <c r="C479" s="632">
        <v>1450</v>
      </c>
    </row>
    <row r="480" spans="1:3" x14ac:dyDescent="0.25">
      <c r="A480" s="631">
        <v>1903309</v>
      </c>
      <c r="B480" s="632" t="s">
        <v>599</v>
      </c>
      <c r="C480" s="632">
        <v>7</v>
      </c>
    </row>
    <row r="481" spans="1:3" x14ac:dyDescent="0.25">
      <c r="A481" s="631">
        <v>1903310</v>
      </c>
      <c r="B481" s="632" t="s">
        <v>600</v>
      </c>
      <c r="C481" s="632">
        <v>7</v>
      </c>
    </row>
    <row r="482" spans="1:3" x14ac:dyDescent="0.25">
      <c r="A482" s="631">
        <v>1903320</v>
      </c>
      <c r="B482" s="632" t="s">
        <v>601</v>
      </c>
      <c r="C482" s="632">
        <v>1450</v>
      </c>
    </row>
    <row r="483" spans="1:3" x14ac:dyDescent="0.25">
      <c r="A483" s="631">
        <v>1903332</v>
      </c>
      <c r="B483" s="632" t="s">
        <v>602</v>
      </c>
      <c r="C483" s="632">
        <v>2900</v>
      </c>
    </row>
    <row r="484" spans="1:3" x14ac:dyDescent="0.25">
      <c r="A484" s="631">
        <v>1903402</v>
      </c>
      <c r="B484" s="632" t="s">
        <v>603</v>
      </c>
      <c r="C484" s="632">
        <v>1104</v>
      </c>
    </row>
    <row r="485" spans="1:3" x14ac:dyDescent="0.25">
      <c r="A485" s="631">
        <v>1903404</v>
      </c>
      <c r="B485" s="632" t="s">
        <v>604</v>
      </c>
      <c r="C485" s="632">
        <v>898</v>
      </c>
    </row>
    <row r="486" spans="1:3" x14ac:dyDescent="0.25">
      <c r="A486" s="631">
        <v>1903405</v>
      </c>
      <c r="B486" s="632" t="s">
        <v>605</v>
      </c>
      <c r="C486" s="632">
        <v>1104</v>
      </c>
    </row>
    <row r="487" spans="1:3" x14ac:dyDescent="0.25">
      <c r="A487" s="631">
        <v>1903420</v>
      </c>
      <c r="B487" s="632" t="s">
        <v>606</v>
      </c>
      <c r="C487" s="632">
        <v>1076</v>
      </c>
    </row>
    <row r="488" spans="1:3" x14ac:dyDescent="0.25">
      <c r="A488" s="631">
        <v>1903421</v>
      </c>
      <c r="B488" s="632" t="s">
        <v>607</v>
      </c>
      <c r="C488" s="632">
        <v>3859</v>
      </c>
    </row>
    <row r="489" spans="1:3" x14ac:dyDescent="0.25">
      <c r="A489" s="631">
        <v>1903422</v>
      </c>
      <c r="B489" s="632" t="s">
        <v>608</v>
      </c>
      <c r="C489" s="632">
        <v>1076</v>
      </c>
    </row>
    <row r="490" spans="1:3" x14ac:dyDescent="0.25">
      <c r="A490" s="631">
        <v>1903423</v>
      </c>
      <c r="B490" s="632" t="s">
        <v>609</v>
      </c>
      <c r="C490" s="632">
        <v>3859</v>
      </c>
    </row>
    <row r="491" spans="1:3" x14ac:dyDescent="0.25">
      <c r="A491" s="631">
        <v>1903424</v>
      </c>
      <c r="B491" s="632" t="s">
        <v>610</v>
      </c>
      <c r="C491" s="632">
        <v>1076</v>
      </c>
    </row>
    <row r="492" spans="1:3" x14ac:dyDescent="0.25">
      <c r="A492" s="631">
        <v>1903425</v>
      </c>
      <c r="B492" s="632" t="s">
        <v>611</v>
      </c>
      <c r="C492" s="632">
        <v>3859</v>
      </c>
    </row>
    <row r="493" spans="1:3" x14ac:dyDescent="0.25">
      <c r="A493" s="631">
        <v>1903426</v>
      </c>
      <c r="B493" s="632" t="s">
        <v>612</v>
      </c>
      <c r="C493" s="632">
        <v>1076</v>
      </c>
    </row>
    <row r="494" spans="1:3" x14ac:dyDescent="0.25">
      <c r="A494" s="631">
        <v>1903427</v>
      </c>
      <c r="B494" s="632" t="s">
        <v>613</v>
      </c>
      <c r="C494" s="632">
        <v>3859</v>
      </c>
    </row>
    <row r="495" spans="1:3" x14ac:dyDescent="0.25">
      <c r="A495" s="631">
        <v>1903520</v>
      </c>
      <c r="B495" s="632" t="s">
        <v>614</v>
      </c>
      <c r="C495" s="632">
        <v>1076</v>
      </c>
    </row>
    <row r="496" spans="1:3" x14ac:dyDescent="0.25">
      <c r="A496" s="631">
        <v>1903521</v>
      </c>
      <c r="B496" s="632" t="s">
        <v>615</v>
      </c>
      <c r="C496" s="632">
        <v>3859</v>
      </c>
    </row>
    <row r="497" spans="1:3" x14ac:dyDescent="0.25">
      <c r="A497" s="631">
        <v>1903522</v>
      </c>
      <c r="B497" s="632" t="s">
        <v>4179</v>
      </c>
      <c r="C497" s="632">
        <v>1076</v>
      </c>
    </row>
    <row r="498" spans="1:3" x14ac:dyDescent="0.25">
      <c r="A498" s="631">
        <v>1903523</v>
      </c>
      <c r="B498" s="632" t="s">
        <v>616</v>
      </c>
      <c r="C498" s="632">
        <v>3859</v>
      </c>
    </row>
    <row r="499" spans="1:3" x14ac:dyDescent="0.25">
      <c r="A499" s="631">
        <v>1903524</v>
      </c>
      <c r="B499" s="632" t="s">
        <v>617</v>
      </c>
      <c r="C499" s="632">
        <v>1076</v>
      </c>
    </row>
    <row r="500" spans="1:3" x14ac:dyDescent="0.25">
      <c r="A500" s="631">
        <v>1903525</v>
      </c>
      <c r="B500" s="632" t="s">
        <v>618</v>
      </c>
      <c r="C500" s="632">
        <v>3859</v>
      </c>
    </row>
    <row r="501" spans="1:3" x14ac:dyDescent="0.25">
      <c r="A501" s="631">
        <v>1903526</v>
      </c>
      <c r="B501" s="632" t="s">
        <v>619</v>
      </c>
      <c r="C501" s="632">
        <v>1076</v>
      </c>
    </row>
    <row r="502" spans="1:3" x14ac:dyDescent="0.25">
      <c r="A502" s="631">
        <v>1903527</v>
      </c>
      <c r="B502" s="632" t="s">
        <v>4180</v>
      </c>
      <c r="C502" s="632">
        <v>3859</v>
      </c>
    </row>
    <row r="503" spans="1:3" x14ac:dyDescent="0.25">
      <c r="A503" s="631">
        <v>1903620</v>
      </c>
      <c r="B503" s="632" t="s">
        <v>620</v>
      </c>
      <c r="C503" s="632">
        <v>1456</v>
      </c>
    </row>
    <row r="504" spans="1:3" x14ac:dyDescent="0.25">
      <c r="A504" s="631">
        <v>1903622</v>
      </c>
      <c r="B504" s="632" t="s">
        <v>621</v>
      </c>
      <c r="C504" s="632">
        <v>1456</v>
      </c>
    </row>
    <row r="505" spans="1:3" x14ac:dyDescent="0.25">
      <c r="A505" s="631">
        <v>1903624</v>
      </c>
      <c r="B505" s="632" t="s">
        <v>622</v>
      </c>
      <c r="C505" s="632">
        <v>1456</v>
      </c>
    </row>
    <row r="506" spans="1:3" x14ac:dyDescent="0.25">
      <c r="A506" s="631">
        <v>1903626</v>
      </c>
      <c r="B506" s="632" t="s">
        <v>623</v>
      </c>
      <c r="C506" s="632">
        <v>1456</v>
      </c>
    </row>
    <row r="507" spans="1:3" x14ac:dyDescent="0.25">
      <c r="A507" s="631">
        <v>1904404</v>
      </c>
      <c r="B507" s="632" t="s">
        <v>624</v>
      </c>
      <c r="C507" s="632">
        <v>1166</v>
      </c>
    </row>
    <row r="508" spans="1:3" x14ac:dyDescent="0.25">
      <c r="A508" s="631">
        <v>1904405</v>
      </c>
      <c r="B508" s="632" t="s">
        <v>625</v>
      </c>
      <c r="C508" s="632">
        <v>1166</v>
      </c>
    </row>
    <row r="509" spans="1:3" x14ac:dyDescent="0.25">
      <c r="A509" s="631">
        <v>1904406</v>
      </c>
      <c r="B509" s="632" t="s">
        <v>626</v>
      </c>
      <c r="C509" s="632">
        <v>1283</v>
      </c>
    </row>
    <row r="510" spans="1:3" x14ac:dyDescent="0.25">
      <c r="A510" s="631" t="s">
        <v>627</v>
      </c>
      <c r="B510" s="632" t="s">
        <v>628</v>
      </c>
      <c r="C510" s="632">
        <v>1010</v>
      </c>
    </row>
    <row r="511" spans="1:3" x14ac:dyDescent="0.25">
      <c r="A511" s="631" t="s">
        <v>629</v>
      </c>
      <c r="B511" s="632" t="s">
        <v>630</v>
      </c>
      <c r="C511" s="632">
        <v>1010</v>
      </c>
    </row>
    <row r="512" spans="1:3" x14ac:dyDescent="0.25">
      <c r="A512" s="631" t="s">
        <v>631</v>
      </c>
      <c r="B512" s="632" t="s">
        <v>632</v>
      </c>
      <c r="C512" s="632">
        <v>1010</v>
      </c>
    </row>
    <row r="513" spans="1:3" x14ac:dyDescent="0.25">
      <c r="A513" s="631" t="s">
        <v>633</v>
      </c>
      <c r="B513" s="632" t="s">
        <v>634</v>
      </c>
      <c r="C513" s="632">
        <v>1010</v>
      </c>
    </row>
    <row r="514" spans="1:3" x14ac:dyDescent="0.25">
      <c r="A514" s="631" t="s">
        <v>635</v>
      </c>
      <c r="B514" s="632" t="s">
        <v>636</v>
      </c>
      <c r="C514" s="632">
        <v>1010</v>
      </c>
    </row>
    <row r="515" spans="1:3" x14ac:dyDescent="0.25">
      <c r="A515" s="631" t="s">
        <v>637</v>
      </c>
      <c r="B515" s="632" t="s">
        <v>638</v>
      </c>
      <c r="C515" s="632">
        <v>1010</v>
      </c>
    </row>
    <row r="516" spans="1:3" x14ac:dyDescent="0.25">
      <c r="A516" s="631" t="s">
        <v>639</v>
      </c>
      <c r="B516" s="632" t="s">
        <v>640</v>
      </c>
      <c r="C516" s="632">
        <v>1010</v>
      </c>
    </row>
    <row r="517" spans="1:3" x14ac:dyDescent="0.25">
      <c r="A517" s="631" t="s">
        <v>641</v>
      </c>
      <c r="B517" s="632" t="s">
        <v>642</v>
      </c>
      <c r="C517" s="632">
        <v>1010</v>
      </c>
    </row>
    <row r="518" spans="1:3" x14ac:dyDescent="0.25">
      <c r="A518" s="631" t="s">
        <v>643</v>
      </c>
      <c r="B518" s="632" t="s">
        <v>644</v>
      </c>
      <c r="C518" s="632">
        <v>1010</v>
      </c>
    </row>
    <row r="519" spans="1:3" x14ac:dyDescent="0.25">
      <c r="A519" s="631" t="s">
        <v>645</v>
      </c>
      <c r="B519" s="632" t="s">
        <v>646</v>
      </c>
      <c r="C519" s="632">
        <v>1010</v>
      </c>
    </row>
    <row r="520" spans="1:3" x14ac:dyDescent="0.25">
      <c r="A520" s="631">
        <v>1907330</v>
      </c>
      <c r="B520" s="632" t="s">
        <v>647</v>
      </c>
      <c r="C520" s="632">
        <v>1450</v>
      </c>
    </row>
    <row r="521" spans="1:3" x14ac:dyDescent="0.25">
      <c r="A521" s="631">
        <v>1908330</v>
      </c>
      <c r="B521" s="632" t="s">
        <v>648</v>
      </c>
      <c r="C521" s="632">
        <v>1450</v>
      </c>
    </row>
    <row r="522" spans="1:3" x14ac:dyDescent="0.25">
      <c r="A522" s="631">
        <v>2000021</v>
      </c>
      <c r="B522" s="632" t="s">
        <v>649</v>
      </c>
      <c r="C522" s="632">
        <v>59</v>
      </c>
    </row>
    <row r="523" spans="1:3" x14ac:dyDescent="0.25">
      <c r="A523" s="631">
        <v>2000023</v>
      </c>
      <c r="B523" s="632" t="s">
        <v>650</v>
      </c>
      <c r="C523" s="632">
        <v>52</v>
      </c>
    </row>
    <row r="524" spans="1:3" x14ac:dyDescent="0.25">
      <c r="A524" s="631">
        <v>2000050</v>
      </c>
      <c r="B524" s="632" t="s">
        <v>651</v>
      </c>
      <c r="C524" s="632">
        <v>464</v>
      </c>
    </row>
    <row r="525" spans="1:3" x14ac:dyDescent="0.25">
      <c r="A525" s="631">
        <v>2000051</v>
      </c>
      <c r="B525" s="632" t="s">
        <v>652</v>
      </c>
      <c r="C525" s="632">
        <v>321</v>
      </c>
    </row>
    <row r="526" spans="1:3" x14ac:dyDescent="0.25">
      <c r="A526" s="631">
        <v>2000061</v>
      </c>
      <c r="B526" s="632" t="s">
        <v>653</v>
      </c>
      <c r="C526" s="632">
        <v>528</v>
      </c>
    </row>
    <row r="527" spans="1:3" x14ac:dyDescent="0.25">
      <c r="A527" s="631">
        <v>2000066</v>
      </c>
      <c r="B527" s="632" t="s">
        <v>654</v>
      </c>
      <c r="C527" s="632">
        <v>32</v>
      </c>
    </row>
    <row r="528" spans="1:3" x14ac:dyDescent="0.25">
      <c r="A528" s="631">
        <v>2002010</v>
      </c>
      <c r="B528" s="632" t="s">
        <v>655</v>
      </c>
      <c r="C528" s="632">
        <v>434</v>
      </c>
    </row>
    <row r="529" spans="1:3" x14ac:dyDescent="0.25">
      <c r="A529" s="631">
        <v>2002016</v>
      </c>
      <c r="B529" s="632" t="s">
        <v>656</v>
      </c>
      <c r="C529" s="632">
        <v>62</v>
      </c>
    </row>
    <row r="530" spans="1:3" x14ac:dyDescent="0.25">
      <c r="A530" s="631">
        <v>2002017</v>
      </c>
      <c r="B530" s="632" t="s">
        <v>657</v>
      </c>
      <c r="C530" s="632">
        <v>26</v>
      </c>
    </row>
    <row r="531" spans="1:3" x14ac:dyDescent="0.25">
      <c r="A531" s="631">
        <v>2002020</v>
      </c>
      <c r="B531" s="632" t="s">
        <v>658</v>
      </c>
      <c r="C531" s="632">
        <v>434</v>
      </c>
    </row>
    <row r="532" spans="1:3" x14ac:dyDescent="0.25">
      <c r="A532" s="631">
        <v>2002030</v>
      </c>
      <c r="B532" s="632" t="s">
        <v>659</v>
      </c>
      <c r="C532" s="632">
        <v>434</v>
      </c>
    </row>
    <row r="533" spans="1:3" x14ac:dyDescent="0.25">
      <c r="A533" s="631" t="s">
        <v>660</v>
      </c>
      <c r="B533" s="632" t="s">
        <v>661</v>
      </c>
      <c r="C533" s="632">
        <v>140</v>
      </c>
    </row>
    <row r="534" spans="1:3" x14ac:dyDescent="0.25">
      <c r="A534" s="631">
        <v>2004003</v>
      </c>
      <c r="B534" s="632" t="s">
        <v>662</v>
      </c>
      <c r="C534" s="632">
        <v>516</v>
      </c>
    </row>
    <row r="535" spans="1:3" x14ac:dyDescent="0.25">
      <c r="A535" s="631">
        <v>2004004</v>
      </c>
      <c r="B535" s="632" t="s">
        <v>663</v>
      </c>
      <c r="C535" s="632">
        <v>516</v>
      </c>
    </row>
    <row r="536" spans="1:3" x14ac:dyDescent="0.25">
      <c r="A536" s="631">
        <v>2004005</v>
      </c>
      <c r="B536" s="632" t="s">
        <v>664</v>
      </c>
      <c r="C536" s="632">
        <v>594</v>
      </c>
    </row>
    <row r="537" spans="1:3" x14ac:dyDescent="0.25">
      <c r="A537" s="631">
        <v>2004006</v>
      </c>
      <c r="B537" s="632" t="s">
        <v>665</v>
      </c>
      <c r="C537" s="632">
        <v>715</v>
      </c>
    </row>
    <row r="538" spans="1:3" x14ac:dyDescent="0.25">
      <c r="A538" s="631">
        <v>2004007</v>
      </c>
      <c r="B538" s="632" t="s">
        <v>666</v>
      </c>
      <c r="C538" s="632">
        <v>494</v>
      </c>
    </row>
    <row r="539" spans="1:3" x14ac:dyDescent="0.25">
      <c r="A539" s="631">
        <v>2004008</v>
      </c>
      <c r="B539" s="632" t="s">
        <v>667</v>
      </c>
      <c r="C539" s="632">
        <v>494</v>
      </c>
    </row>
    <row r="540" spans="1:3" x14ac:dyDescent="0.25">
      <c r="A540" s="631">
        <v>2004009</v>
      </c>
      <c r="B540" s="632" t="s">
        <v>668</v>
      </c>
      <c r="C540" s="632">
        <v>494</v>
      </c>
    </row>
    <row r="541" spans="1:3" x14ac:dyDescent="0.25">
      <c r="A541" s="631">
        <v>2004010</v>
      </c>
      <c r="B541" s="632" t="s">
        <v>669</v>
      </c>
      <c r="C541" s="632">
        <v>431</v>
      </c>
    </row>
    <row r="542" spans="1:3" x14ac:dyDescent="0.25">
      <c r="A542" s="631">
        <v>2100010</v>
      </c>
      <c r="B542" s="632" t="s">
        <v>670</v>
      </c>
      <c r="C542" s="632">
        <v>613</v>
      </c>
    </row>
    <row r="543" spans="1:3" x14ac:dyDescent="0.25">
      <c r="A543" s="631">
        <v>2100020</v>
      </c>
      <c r="B543" s="632" t="s">
        <v>671</v>
      </c>
      <c r="C543" s="632">
        <v>613</v>
      </c>
    </row>
    <row r="544" spans="1:3" x14ac:dyDescent="0.25">
      <c r="A544" s="631">
        <v>2100025</v>
      </c>
      <c r="B544" s="632" t="s">
        <v>672</v>
      </c>
      <c r="C544" s="632">
        <v>613</v>
      </c>
    </row>
    <row r="545" spans="1:3" x14ac:dyDescent="0.25">
      <c r="A545" s="631">
        <v>2100030</v>
      </c>
      <c r="B545" s="632" t="s">
        <v>673</v>
      </c>
      <c r="C545" s="632">
        <v>613</v>
      </c>
    </row>
    <row r="546" spans="1:3" x14ac:dyDescent="0.25">
      <c r="A546" s="631">
        <v>2100035</v>
      </c>
      <c r="B546" s="632" t="s">
        <v>674</v>
      </c>
      <c r="C546" s="632">
        <v>613</v>
      </c>
    </row>
    <row r="547" spans="1:3" x14ac:dyDescent="0.25">
      <c r="A547" s="631">
        <v>2100040</v>
      </c>
      <c r="B547" s="632" t="s">
        <v>675</v>
      </c>
      <c r="C547" s="632">
        <v>613</v>
      </c>
    </row>
    <row r="548" spans="1:3" x14ac:dyDescent="0.25">
      <c r="A548" s="631">
        <v>2100045</v>
      </c>
      <c r="B548" s="632" t="s">
        <v>676</v>
      </c>
      <c r="C548" s="632">
        <v>613</v>
      </c>
    </row>
    <row r="549" spans="1:3" x14ac:dyDescent="0.25">
      <c r="A549" s="631">
        <v>2100050</v>
      </c>
      <c r="B549" s="632" t="s">
        <v>677</v>
      </c>
      <c r="C549" s="632">
        <v>600</v>
      </c>
    </row>
    <row r="550" spans="1:3" x14ac:dyDescent="0.25">
      <c r="A550" s="631">
        <v>2100060</v>
      </c>
      <c r="B550" s="632" t="s">
        <v>678</v>
      </c>
      <c r="C550" s="632">
        <v>613</v>
      </c>
    </row>
    <row r="551" spans="1:3" x14ac:dyDescent="0.25">
      <c r="A551" s="631">
        <v>2100065</v>
      </c>
      <c r="B551" s="632" t="s">
        <v>679</v>
      </c>
      <c r="C551" s="632">
        <v>613</v>
      </c>
    </row>
    <row r="552" spans="1:3" x14ac:dyDescent="0.25">
      <c r="A552" s="631">
        <v>2100067</v>
      </c>
      <c r="B552" s="632" t="s">
        <v>680</v>
      </c>
      <c r="C552" s="632">
        <v>613</v>
      </c>
    </row>
    <row r="553" spans="1:3" x14ac:dyDescent="0.25">
      <c r="A553" s="631">
        <v>2100070</v>
      </c>
      <c r="B553" s="632" t="s">
        <v>681</v>
      </c>
      <c r="C553" s="632">
        <v>613</v>
      </c>
    </row>
    <row r="554" spans="1:3" x14ac:dyDescent="0.25">
      <c r="A554" s="631">
        <v>2100075</v>
      </c>
      <c r="B554" s="632" t="s">
        <v>682</v>
      </c>
      <c r="C554" s="632">
        <v>613</v>
      </c>
    </row>
    <row r="555" spans="1:3" x14ac:dyDescent="0.25">
      <c r="A555" s="631">
        <v>2100077</v>
      </c>
      <c r="B555" s="632" t="s">
        <v>683</v>
      </c>
      <c r="C555" s="632">
        <v>613</v>
      </c>
    </row>
    <row r="556" spans="1:3" x14ac:dyDescent="0.25">
      <c r="A556" s="631">
        <v>2100080</v>
      </c>
      <c r="B556" s="632" t="s">
        <v>684</v>
      </c>
      <c r="C556" s="632">
        <v>600</v>
      </c>
    </row>
    <row r="557" spans="1:3" x14ac:dyDescent="0.25">
      <c r="A557" s="631">
        <v>2100090</v>
      </c>
      <c r="B557" s="632" t="s">
        <v>685</v>
      </c>
      <c r="C557" s="632">
        <v>613</v>
      </c>
    </row>
    <row r="558" spans="1:3" x14ac:dyDescent="0.25">
      <c r="A558" s="631">
        <v>2100095</v>
      </c>
      <c r="B558" s="632" t="s">
        <v>686</v>
      </c>
      <c r="C558" s="632">
        <v>613</v>
      </c>
    </row>
    <row r="559" spans="1:3" x14ac:dyDescent="0.25">
      <c r="A559" s="631">
        <v>2100097</v>
      </c>
      <c r="B559" s="632" t="s">
        <v>687</v>
      </c>
      <c r="C559" s="632">
        <v>613</v>
      </c>
    </row>
    <row r="560" spans="1:3" x14ac:dyDescent="0.25">
      <c r="A560" s="631">
        <v>2100100</v>
      </c>
      <c r="B560" s="632" t="s">
        <v>688</v>
      </c>
      <c r="C560" s="632">
        <v>613</v>
      </c>
    </row>
    <row r="561" spans="1:3" x14ac:dyDescent="0.25">
      <c r="A561" s="631">
        <v>2100101</v>
      </c>
      <c r="B561" s="632" t="s">
        <v>689</v>
      </c>
      <c r="C561" s="632">
        <v>670</v>
      </c>
    </row>
    <row r="562" spans="1:3" x14ac:dyDescent="0.25">
      <c r="A562" s="631">
        <v>2100105</v>
      </c>
      <c r="B562" s="632" t="s">
        <v>690</v>
      </c>
      <c r="C562" s="632">
        <v>613</v>
      </c>
    </row>
    <row r="563" spans="1:3" x14ac:dyDescent="0.25">
      <c r="A563" s="631">
        <v>2100107</v>
      </c>
      <c r="B563" s="632" t="s">
        <v>691</v>
      </c>
      <c r="C563" s="632">
        <v>613</v>
      </c>
    </row>
    <row r="564" spans="1:3" x14ac:dyDescent="0.25">
      <c r="A564" s="631">
        <v>2100110</v>
      </c>
      <c r="B564" s="632" t="s">
        <v>692</v>
      </c>
      <c r="C564" s="632">
        <v>600</v>
      </c>
    </row>
    <row r="565" spans="1:3" x14ac:dyDescent="0.25">
      <c r="A565" s="631">
        <v>2100115</v>
      </c>
      <c r="B565" s="632" t="s">
        <v>693</v>
      </c>
      <c r="C565" s="632">
        <v>456</v>
      </c>
    </row>
    <row r="566" spans="1:3" x14ac:dyDescent="0.25">
      <c r="A566" s="631">
        <v>2100120</v>
      </c>
      <c r="B566" s="632" t="s">
        <v>694</v>
      </c>
      <c r="C566" s="632">
        <v>417</v>
      </c>
    </row>
    <row r="567" spans="1:3" x14ac:dyDescent="0.25">
      <c r="A567" s="631">
        <v>2100130</v>
      </c>
      <c r="B567" s="632" t="s">
        <v>695</v>
      </c>
      <c r="C567" s="632">
        <v>417</v>
      </c>
    </row>
    <row r="568" spans="1:3" x14ac:dyDescent="0.25">
      <c r="A568" s="631">
        <v>2100140</v>
      </c>
      <c r="B568" s="632" t="s">
        <v>696</v>
      </c>
      <c r="C568" s="632">
        <v>417</v>
      </c>
    </row>
    <row r="569" spans="1:3" x14ac:dyDescent="0.25">
      <c r="A569" s="631">
        <v>2100141</v>
      </c>
      <c r="B569" s="632" t="s">
        <v>697</v>
      </c>
      <c r="C569" s="632">
        <v>417</v>
      </c>
    </row>
    <row r="570" spans="1:3" x14ac:dyDescent="0.25">
      <c r="A570" s="631">
        <v>2100142</v>
      </c>
      <c r="B570" s="632" t="s">
        <v>698</v>
      </c>
      <c r="C570" s="632">
        <v>417</v>
      </c>
    </row>
    <row r="571" spans="1:3" x14ac:dyDescent="0.25">
      <c r="A571" s="631">
        <v>2100143</v>
      </c>
      <c r="B571" s="632" t="s">
        <v>699</v>
      </c>
      <c r="C571" s="632">
        <v>417</v>
      </c>
    </row>
    <row r="572" spans="1:3" x14ac:dyDescent="0.25">
      <c r="A572" s="631">
        <v>2100150</v>
      </c>
      <c r="B572" s="632" t="s">
        <v>700</v>
      </c>
      <c r="C572" s="632">
        <v>417</v>
      </c>
    </row>
    <row r="573" spans="1:3" x14ac:dyDescent="0.25">
      <c r="A573" s="631">
        <v>2100151</v>
      </c>
      <c r="B573" s="632" t="s">
        <v>701</v>
      </c>
      <c r="C573" s="632">
        <v>417</v>
      </c>
    </row>
    <row r="574" spans="1:3" x14ac:dyDescent="0.25">
      <c r="A574" s="631">
        <v>2100152</v>
      </c>
      <c r="B574" s="632" t="s">
        <v>702</v>
      </c>
      <c r="C574" s="632">
        <v>417</v>
      </c>
    </row>
    <row r="575" spans="1:3" x14ac:dyDescent="0.25">
      <c r="A575" s="631">
        <v>2100153</v>
      </c>
      <c r="B575" s="632" t="s">
        <v>703</v>
      </c>
      <c r="C575" s="632">
        <v>417</v>
      </c>
    </row>
    <row r="576" spans="1:3" x14ac:dyDescent="0.25">
      <c r="A576" s="631">
        <v>2100201</v>
      </c>
      <c r="B576" s="632" t="s">
        <v>704</v>
      </c>
      <c r="C576" s="632">
        <v>1098</v>
      </c>
    </row>
    <row r="577" spans="1:3" x14ac:dyDescent="0.25">
      <c r="A577" s="631" t="s">
        <v>705</v>
      </c>
      <c r="B577" s="632" t="s">
        <v>706</v>
      </c>
      <c r="C577" s="632">
        <v>0</v>
      </c>
    </row>
    <row r="578" spans="1:3" x14ac:dyDescent="0.25">
      <c r="A578" s="631">
        <v>2100203</v>
      </c>
      <c r="B578" s="632" t="s">
        <v>4181</v>
      </c>
      <c r="C578" s="632">
        <v>1098</v>
      </c>
    </row>
    <row r="579" spans="1:3" x14ac:dyDescent="0.25">
      <c r="A579" s="631">
        <v>2100204</v>
      </c>
      <c r="B579" s="632" t="s">
        <v>707</v>
      </c>
      <c r="C579" s="632">
        <v>1098</v>
      </c>
    </row>
    <row r="580" spans="1:3" x14ac:dyDescent="0.25">
      <c r="A580" s="631">
        <v>2100205</v>
      </c>
      <c r="B580" s="632" t="s">
        <v>708</v>
      </c>
      <c r="C580" s="632">
        <v>1098</v>
      </c>
    </row>
    <row r="581" spans="1:3" x14ac:dyDescent="0.25">
      <c r="A581" s="631">
        <v>2100206</v>
      </c>
      <c r="B581" s="632" t="s">
        <v>709</v>
      </c>
      <c r="C581" s="632">
        <v>1098</v>
      </c>
    </row>
    <row r="582" spans="1:3" x14ac:dyDescent="0.25">
      <c r="A582" s="631">
        <v>2100208</v>
      </c>
      <c r="B582" s="632" t="s">
        <v>4182</v>
      </c>
      <c r="C582" s="632">
        <v>1098</v>
      </c>
    </row>
    <row r="583" spans="1:3" x14ac:dyDescent="0.25">
      <c r="A583" s="631">
        <v>2100209</v>
      </c>
      <c r="B583" s="632" t="s">
        <v>4183</v>
      </c>
      <c r="C583" s="632">
        <v>1098</v>
      </c>
    </row>
    <row r="584" spans="1:3" x14ac:dyDescent="0.25">
      <c r="A584" s="631">
        <v>2100211</v>
      </c>
      <c r="B584" s="632" t="s">
        <v>710</v>
      </c>
      <c r="C584" s="632">
        <v>645</v>
      </c>
    </row>
    <row r="585" spans="1:3" x14ac:dyDescent="0.25">
      <c r="A585" s="631">
        <v>2100212</v>
      </c>
      <c r="B585" s="632" t="s">
        <v>712</v>
      </c>
      <c r="C585" s="632">
        <v>645</v>
      </c>
    </row>
    <row r="586" spans="1:3" x14ac:dyDescent="0.25">
      <c r="A586" s="631">
        <v>2100218</v>
      </c>
      <c r="B586" s="632" t="s">
        <v>713</v>
      </c>
      <c r="C586" s="632">
        <v>773</v>
      </c>
    </row>
    <row r="587" spans="1:3" x14ac:dyDescent="0.25">
      <c r="A587" s="631">
        <v>2100220</v>
      </c>
      <c r="B587" s="632" t="s">
        <v>714</v>
      </c>
      <c r="C587" s="632">
        <v>773</v>
      </c>
    </row>
    <row r="588" spans="1:3" x14ac:dyDescent="0.25">
      <c r="A588" s="631">
        <v>2100222</v>
      </c>
      <c r="B588" s="632" t="s">
        <v>715</v>
      </c>
      <c r="C588" s="632">
        <v>754</v>
      </c>
    </row>
    <row r="589" spans="1:3" x14ac:dyDescent="0.25">
      <c r="A589" s="631">
        <v>2100223</v>
      </c>
      <c r="B589" s="632" t="s">
        <v>716</v>
      </c>
      <c r="C589" s="632">
        <v>824</v>
      </c>
    </row>
    <row r="590" spans="1:3" x14ac:dyDescent="0.25">
      <c r="A590" s="631">
        <v>2100224</v>
      </c>
      <c r="B590" s="632" t="s">
        <v>717</v>
      </c>
      <c r="C590" s="632">
        <v>824</v>
      </c>
    </row>
    <row r="591" spans="1:3" x14ac:dyDescent="0.25">
      <c r="A591" s="631">
        <v>2305012</v>
      </c>
      <c r="B591" s="632" t="s">
        <v>718</v>
      </c>
      <c r="C591" s="632">
        <v>854</v>
      </c>
    </row>
    <row r="592" spans="1:3" x14ac:dyDescent="0.25">
      <c r="A592" s="631">
        <v>2305013</v>
      </c>
      <c r="B592" s="632" t="s">
        <v>719</v>
      </c>
      <c r="C592" s="632">
        <v>854</v>
      </c>
    </row>
    <row r="593" spans="1:5" x14ac:dyDescent="0.25">
      <c r="A593" s="631">
        <v>2305130</v>
      </c>
      <c r="B593" s="632" t="s">
        <v>720</v>
      </c>
      <c r="C593" s="632">
        <v>1748</v>
      </c>
    </row>
    <row r="594" spans="1:5" x14ac:dyDescent="0.25">
      <c r="A594" s="631">
        <v>2305131</v>
      </c>
      <c r="B594" s="632" t="s">
        <v>721</v>
      </c>
      <c r="C594" s="632">
        <v>1748</v>
      </c>
    </row>
    <row r="595" spans="1:5" x14ac:dyDescent="0.25">
      <c r="A595" s="631">
        <v>2305132</v>
      </c>
      <c r="B595" s="632" t="s">
        <v>722</v>
      </c>
      <c r="C595" s="632">
        <v>1748</v>
      </c>
    </row>
    <row r="596" spans="1:5" x14ac:dyDescent="0.25">
      <c r="A596" s="631">
        <v>2305143</v>
      </c>
      <c r="B596" s="632" t="s">
        <v>723</v>
      </c>
      <c r="C596" s="632">
        <v>397</v>
      </c>
    </row>
    <row r="597" spans="1:5" x14ac:dyDescent="0.25">
      <c r="A597" s="631">
        <v>2600102</v>
      </c>
      <c r="B597" s="632" t="s">
        <v>725</v>
      </c>
      <c r="C597" s="632">
        <v>5781</v>
      </c>
    </row>
    <row r="598" spans="1:5" x14ac:dyDescent="0.25">
      <c r="A598" s="631">
        <v>2600103</v>
      </c>
      <c r="B598" s="632" t="s">
        <v>726</v>
      </c>
      <c r="C598" s="632">
        <v>6449</v>
      </c>
      <c r="E598">
        <v>4353000</v>
      </c>
    </row>
    <row r="599" spans="1:5" x14ac:dyDescent="0.25">
      <c r="A599" s="631">
        <v>2600105</v>
      </c>
      <c r="B599" s="632" t="s">
        <v>727</v>
      </c>
      <c r="C599" s="632">
        <v>6904</v>
      </c>
    </row>
    <row r="600" spans="1:5" x14ac:dyDescent="0.25">
      <c r="A600" s="631">
        <v>2600106</v>
      </c>
      <c r="B600" s="632" t="s">
        <v>728</v>
      </c>
      <c r="C600" s="632">
        <v>6904</v>
      </c>
    </row>
    <row r="601" spans="1:5" x14ac:dyDescent="0.25">
      <c r="A601" s="631">
        <v>2600107</v>
      </c>
      <c r="B601" s="632" t="s">
        <v>729</v>
      </c>
      <c r="C601" s="632">
        <v>6904</v>
      </c>
    </row>
    <row r="602" spans="1:5" x14ac:dyDescent="0.25">
      <c r="A602" s="631">
        <v>2600108</v>
      </c>
      <c r="B602" s="632" t="s">
        <v>730</v>
      </c>
      <c r="C602" s="632">
        <v>6789</v>
      </c>
    </row>
    <row r="603" spans="1:5" x14ac:dyDescent="0.25">
      <c r="A603" s="631">
        <v>2602003</v>
      </c>
      <c r="B603" s="632" t="s">
        <v>731</v>
      </c>
      <c r="C603" s="632">
        <v>77</v>
      </c>
    </row>
    <row r="604" spans="1:5" x14ac:dyDescent="0.25">
      <c r="A604" s="631">
        <v>2602004</v>
      </c>
      <c r="B604" s="632" t="s">
        <v>732</v>
      </c>
      <c r="C604" s="632">
        <v>115</v>
      </c>
    </row>
    <row r="605" spans="1:5" x14ac:dyDescent="0.25">
      <c r="A605" s="631">
        <v>2602005</v>
      </c>
      <c r="B605" s="632" t="s">
        <v>733</v>
      </c>
      <c r="C605" s="632">
        <v>960</v>
      </c>
    </row>
    <row r="606" spans="1:5" x14ac:dyDescent="0.25">
      <c r="A606" s="631">
        <v>2602006</v>
      </c>
      <c r="B606" s="632" t="s">
        <v>734</v>
      </c>
      <c r="C606" s="632">
        <v>49</v>
      </c>
    </row>
    <row r="607" spans="1:5" x14ac:dyDescent="0.25">
      <c r="A607" s="631">
        <v>2602007</v>
      </c>
      <c r="B607" s="632" t="s">
        <v>735</v>
      </c>
      <c r="C607" s="632">
        <v>115</v>
      </c>
    </row>
    <row r="608" spans="1:5" x14ac:dyDescent="0.25">
      <c r="A608" s="631">
        <v>2602008</v>
      </c>
      <c r="B608" s="632" t="s">
        <v>736</v>
      </c>
      <c r="C608" s="632">
        <v>58</v>
      </c>
    </row>
    <row r="609" spans="1:3" x14ac:dyDescent="0.25">
      <c r="A609" s="631">
        <v>2602009</v>
      </c>
      <c r="B609" s="632" t="s">
        <v>737</v>
      </c>
      <c r="C609" s="632">
        <v>38</v>
      </c>
    </row>
    <row r="610" spans="1:3" x14ac:dyDescent="0.25">
      <c r="A610" s="631">
        <v>2602010</v>
      </c>
      <c r="B610" s="632" t="s">
        <v>738</v>
      </c>
      <c r="C610" s="632">
        <v>23</v>
      </c>
    </row>
    <row r="611" spans="1:3" x14ac:dyDescent="0.25">
      <c r="A611" s="631">
        <v>2602011</v>
      </c>
      <c r="B611" s="632" t="s">
        <v>739</v>
      </c>
      <c r="C611" s="632">
        <v>230</v>
      </c>
    </row>
    <row r="612" spans="1:3" x14ac:dyDescent="0.25">
      <c r="A612" s="631">
        <v>2602012</v>
      </c>
      <c r="B612" s="632" t="s">
        <v>740</v>
      </c>
      <c r="C612" s="632">
        <v>69</v>
      </c>
    </row>
    <row r="613" spans="1:3" x14ac:dyDescent="0.25">
      <c r="A613" s="631">
        <v>2602013</v>
      </c>
      <c r="B613" s="632" t="s">
        <v>741</v>
      </c>
      <c r="C613" s="632">
        <v>77</v>
      </c>
    </row>
    <row r="614" spans="1:3" x14ac:dyDescent="0.25">
      <c r="A614" s="631">
        <v>2602014</v>
      </c>
      <c r="B614" s="632" t="s">
        <v>742</v>
      </c>
      <c r="C614" s="632">
        <v>69</v>
      </c>
    </row>
    <row r="615" spans="1:3" x14ac:dyDescent="0.25">
      <c r="A615" s="631">
        <v>2602015</v>
      </c>
      <c r="B615" s="632" t="s">
        <v>743</v>
      </c>
      <c r="C615" s="632">
        <v>38</v>
      </c>
    </row>
    <row r="616" spans="1:3" x14ac:dyDescent="0.25">
      <c r="A616" s="631">
        <v>2602017</v>
      </c>
      <c r="B616" s="632" t="s">
        <v>744</v>
      </c>
      <c r="C616" s="632">
        <v>38</v>
      </c>
    </row>
    <row r="617" spans="1:3" x14ac:dyDescent="0.25">
      <c r="A617" s="631">
        <v>2602018</v>
      </c>
      <c r="B617" s="632" t="s">
        <v>745</v>
      </c>
      <c r="C617" s="632">
        <v>230</v>
      </c>
    </row>
    <row r="618" spans="1:3" x14ac:dyDescent="0.25">
      <c r="A618" s="631">
        <v>2602019</v>
      </c>
      <c r="B618" s="632" t="s">
        <v>746</v>
      </c>
      <c r="C618" s="632">
        <v>230</v>
      </c>
    </row>
    <row r="619" spans="1:3" x14ac:dyDescent="0.25">
      <c r="A619" s="631">
        <v>2602020</v>
      </c>
      <c r="B619" s="632" t="s">
        <v>747</v>
      </c>
      <c r="C619" s="632">
        <v>96</v>
      </c>
    </row>
    <row r="620" spans="1:3" x14ac:dyDescent="0.25">
      <c r="A620" s="631">
        <v>2602021</v>
      </c>
      <c r="B620" s="632" t="s">
        <v>748</v>
      </c>
      <c r="C620" s="632">
        <v>96</v>
      </c>
    </row>
    <row r="621" spans="1:3" x14ac:dyDescent="0.25">
      <c r="A621" s="631">
        <v>2602022</v>
      </c>
      <c r="B621" s="632" t="s">
        <v>749</v>
      </c>
      <c r="C621" s="632">
        <v>96</v>
      </c>
    </row>
    <row r="622" spans="1:3" x14ac:dyDescent="0.25">
      <c r="A622" s="631">
        <v>2602023</v>
      </c>
      <c r="B622" s="632" t="s">
        <v>750</v>
      </c>
      <c r="C622" s="632">
        <v>538</v>
      </c>
    </row>
    <row r="623" spans="1:3" x14ac:dyDescent="0.25">
      <c r="A623" s="631">
        <v>2602024</v>
      </c>
      <c r="B623" s="632" t="s">
        <v>751</v>
      </c>
      <c r="C623" s="632">
        <v>46</v>
      </c>
    </row>
    <row r="624" spans="1:3" x14ac:dyDescent="0.25">
      <c r="A624" s="631">
        <v>2602025</v>
      </c>
      <c r="B624" s="632" t="s">
        <v>752</v>
      </c>
      <c r="C624" s="632">
        <v>58</v>
      </c>
    </row>
    <row r="625" spans="1:3" x14ac:dyDescent="0.25">
      <c r="A625" s="631">
        <v>2602026</v>
      </c>
      <c r="B625" s="632" t="s">
        <v>753</v>
      </c>
      <c r="C625" s="632">
        <v>438</v>
      </c>
    </row>
    <row r="626" spans="1:3" x14ac:dyDescent="0.25">
      <c r="A626" s="631">
        <v>2602027</v>
      </c>
      <c r="B626" s="632" t="s">
        <v>754</v>
      </c>
      <c r="C626" s="632">
        <v>864</v>
      </c>
    </row>
    <row r="627" spans="1:3" x14ac:dyDescent="0.25">
      <c r="A627" s="631">
        <v>2602034</v>
      </c>
      <c r="B627" s="632" t="s">
        <v>755</v>
      </c>
      <c r="C627" s="632">
        <v>230</v>
      </c>
    </row>
    <row r="628" spans="1:3" x14ac:dyDescent="0.25">
      <c r="A628" s="631">
        <v>2602035</v>
      </c>
      <c r="B628" s="632" t="s">
        <v>756</v>
      </c>
      <c r="C628" s="632">
        <v>115</v>
      </c>
    </row>
    <row r="629" spans="1:3" x14ac:dyDescent="0.25">
      <c r="A629" s="631">
        <v>2602036</v>
      </c>
      <c r="B629" s="632" t="s">
        <v>757</v>
      </c>
      <c r="C629" s="632">
        <v>1580</v>
      </c>
    </row>
    <row r="630" spans="1:3" x14ac:dyDescent="0.25">
      <c r="A630" s="631">
        <v>2602037</v>
      </c>
      <c r="B630" s="632" t="s">
        <v>758</v>
      </c>
      <c r="C630" s="632">
        <v>1920</v>
      </c>
    </row>
    <row r="631" spans="1:3" x14ac:dyDescent="0.25">
      <c r="A631" s="631">
        <v>2602038</v>
      </c>
      <c r="B631" s="632" t="s">
        <v>759</v>
      </c>
      <c r="C631" s="632">
        <v>384</v>
      </c>
    </row>
    <row r="632" spans="1:3" x14ac:dyDescent="0.25">
      <c r="A632" s="631">
        <v>2602041</v>
      </c>
      <c r="B632" s="632" t="s">
        <v>760</v>
      </c>
      <c r="C632" s="632">
        <v>128</v>
      </c>
    </row>
    <row r="633" spans="1:3" x14ac:dyDescent="0.25">
      <c r="A633" s="631">
        <v>2602061</v>
      </c>
      <c r="B633" s="632" t="s">
        <v>761</v>
      </c>
      <c r="C633" s="632">
        <v>667</v>
      </c>
    </row>
    <row r="634" spans="1:3" x14ac:dyDescent="0.25">
      <c r="A634" s="631">
        <v>2602070</v>
      </c>
      <c r="B634" s="632" t="s">
        <v>762</v>
      </c>
      <c r="C634" s="632">
        <v>842</v>
      </c>
    </row>
    <row r="635" spans="1:3" x14ac:dyDescent="0.25">
      <c r="A635" s="631" t="s">
        <v>4184</v>
      </c>
      <c r="B635" s="632" t="s">
        <v>4185</v>
      </c>
      <c r="C635" s="632">
        <v>1958</v>
      </c>
    </row>
    <row r="636" spans="1:3" x14ac:dyDescent="0.25">
      <c r="A636" s="631">
        <v>3073311</v>
      </c>
      <c r="B636" s="632" t="s">
        <v>763</v>
      </c>
      <c r="C636" s="632">
        <v>26507</v>
      </c>
    </row>
    <row r="637" spans="1:3" x14ac:dyDescent="0.25">
      <c r="A637" s="631">
        <v>3073312</v>
      </c>
      <c r="B637" s="632" t="s">
        <v>764</v>
      </c>
      <c r="C637" s="632">
        <v>28974</v>
      </c>
    </row>
    <row r="638" spans="1:3" x14ac:dyDescent="0.25">
      <c r="A638" s="631">
        <v>3073611</v>
      </c>
      <c r="B638" s="632" t="s">
        <v>765</v>
      </c>
      <c r="C638" s="632">
        <v>24473</v>
      </c>
    </row>
    <row r="639" spans="1:3" x14ac:dyDescent="0.25">
      <c r="A639" s="631">
        <v>3073612</v>
      </c>
      <c r="B639" s="632" t="s">
        <v>766</v>
      </c>
      <c r="C639" s="632">
        <v>28974</v>
      </c>
    </row>
    <row r="640" spans="1:3" x14ac:dyDescent="0.25">
      <c r="A640" s="631">
        <v>3073911</v>
      </c>
      <c r="B640" s="632" t="s">
        <v>767</v>
      </c>
      <c r="C640" s="632">
        <v>24473</v>
      </c>
    </row>
    <row r="641" spans="1:3" x14ac:dyDescent="0.25">
      <c r="A641" s="631">
        <v>3073912</v>
      </c>
      <c r="B641" s="632" t="s">
        <v>768</v>
      </c>
      <c r="C641" s="632">
        <v>28974</v>
      </c>
    </row>
    <row r="642" spans="1:3" x14ac:dyDescent="0.25">
      <c r="A642" s="631">
        <v>3074211</v>
      </c>
      <c r="B642" s="632" t="s">
        <v>769</v>
      </c>
      <c r="C642" s="632">
        <v>24473</v>
      </c>
    </row>
    <row r="643" spans="1:3" x14ac:dyDescent="0.25">
      <c r="A643" s="631">
        <v>3074212</v>
      </c>
      <c r="B643" s="632" t="s">
        <v>770</v>
      </c>
      <c r="C643" s="632">
        <v>28974</v>
      </c>
    </row>
    <row r="644" spans="1:3" x14ac:dyDescent="0.25">
      <c r="A644" s="631">
        <v>3074511</v>
      </c>
      <c r="B644" s="632" t="s">
        <v>771</v>
      </c>
      <c r="C644" s="632">
        <v>26507</v>
      </c>
    </row>
    <row r="645" spans="1:3" x14ac:dyDescent="0.25">
      <c r="A645" s="631">
        <v>3074512</v>
      </c>
      <c r="B645" s="632" t="s">
        <v>772</v>
      </c>
      <c r="C645" s="632">
        <v>28974</v>
      </c>
    </row>
    <row r="646" spans="1:3" x14ac:dyDescent="0.25">
      <c r="A646" s="631">
        <v>3262400</v>
      </c>
      <c r="B646" s="632" t="s">
        <v>773</v>
      </c>
      <c r="C646" s="632">
        <v>1204</v>
      </c>
    </row>
    <row r="647" spans="1:3" x14ac:dyDescent="0.25">
      <c r="A647" s="631">
        <v>3262700</v>
      </c>
      <c r="B647" s="632" t="s">
        <v>774</v>
      </c>
      <c r="C647" s="632">
        <v>1204</v>
      </c>
    </row>
    <row r="648" spans="1:3" x14ac:dyDescent="0.25">
      <c r="A648" s="631">
        <v>3272420</v>
      </c>
      <c r="B648" s="632" t="s">
        <v>775</v>
      </c>
      <c r="C648" s="632">
        <v>900</v>
      </c>
    </row>
    <row r="649" spans="1:3" x14ac:dyDescent="0.25">
      <c r="A649" s="631">
        <v>3272421</v>
      </c>
      <c r="B649" s="632" t="s">
        <v>776</v>
      </c>
      <c r="C649" s="632">
        <v>900</v>
      </c>
    </row>
    <row r="650" spans="1:3" x14ac:dyDescent="0.25">
      <c r="A650" s="631">
        <v>3272430</v>
      </c>
      <c r="B650" s="632" t="s">
        <v>777</v>
      </c>
      <c r="C650" s="632">
        <v>457</v>
      </c>
    </row>
    <row r="651" spans="1:3" x14ac:dyDescent="0.25">
      <c r="A651" s="631">
        <v>3272431</v>
      </c>
      <c r="B651" s="632" t="s">
        <v>778</v>
      </c>
      <c r="C651" s="632">
        <v>457</v>
      </c>
    </row>
    <row r="652" spans="1:3" x14ac:dyDescent="0.25">
      <c r="A652" s="631">
        <v>3272499</v>
      </c>
      <c r="B652" s="632" t="s">
        <v>779</v>
      </c>
      <c r="C652" s="632">
        <v>192</v>
      </c>
    </row>
    <row r="653" spans="1:3" x14ac:dyDescent="0.25">
      <c r="A653" s="631">
        <v>3272720</v>
      </c>
      <c r="B653" s="632" t="s">
        <v>780</v>
      </c>
      <c r="C653" s="632">
        <v>900</v>
      </c>
    </row>
    <row r="654" spans="1:3" x14ac:dyDescent="0.25">
      <c r="A654" s="631">
        <v>3272721</v>
      </c>
      <c r="B654" s="632" t="s">
        <v>781</v>
      </c>
      <c r="C654" s="632">
        <v>900</v>
      </c>
    </row>
    <row r="655" spans="1:3" x14ac:dyDescent="0.25">
      <c r="A655" s="631">
        <v>3272729</v>
      </c>
      <c r="B655" s="632" t="s">
        <v>782</v>
      </c>
      <c r="C655" s="632">
        <v>457</v>
      </c>
    </row>
    <row r="656" spans="1:3" x14ac:dyDescent="0.25">
      <c r="A656" s="631">
        <v>3272731</v>
      </c>
      <c r="B656" s="632" t="s">
        <v>783</v>
      </c>
      <c r="C656" s="632">
        <v>457</v>
      </c>
    </row>
    <row r="657" spans="1:3" x14ac:dyDescent="0.25">
      <c r="A657" s="631">
        <v>3272740</v>
      </c>
      <c r="B657" s="632" t="s">
        <v>784</v>
      </c>
      <c r="C657" s="632">
        <v>457</v>
      </c>
    </row>
    <row r="658" spans="1:3" x14ac:dyDescent="0.25">
      <c r="A658" s="631">
        <v>3273310</v>
      </c>
      <c r="B658" s="632" t="s">
        <v>785</v>
      </c>
      <c r="C658" s="632">
        <v>2747</v>
      </c>
    </row>
    <row r="659" spans="1:3" x14ac:dyDescent="0.25">
      <c r="A659" s="631">
        <v>3273312</v>
      </c>
      <c r="B659" s="632" t="s">
        <v>786</v>
      </c>
      <c r="C659" s="632">
        <v>3333</v>
      </c>
    </row>
    <row r="660" spans="1:3" x14ac:dyDescent="0.25">
      <c r="A660" s="631">
        <v>3273318</v>
      </c>
      <c r="B660" s="632" t="s">
        <v>787</v>
      </c>
      <c r="C660" s="632">
        <v>585</v>
      </c>
    </row>
    <row r="661" spans="1:3" x14ac:dyDescent="0.25">
      <c r="A661" s="631">
        <v>3273610</v>
      </c>
      <c r="B661" s="632" t="s">
        <v>788</v>
      </c>
      <c r="C661" s="632">
        <v>2747</v>
      </c>
    </row>
    <row r="662" spans="1:3" x14ac:dyDescent="0.25">
      <c r="A662" s="631">
        <v>3273612</v>
      </c>
      <c r="B662" s="632" t="s">
        <v>789</v>
      </c>
      <c r="C662" s="632">
        <v>3333</v>
      </c>
    </row>
    <row r="663" spans="1:3" x14ac:dyDescent="0.25">
      <c r="A663" s="631">
        <v>3273618</v>
      </c>
      <c r="B663" s="632" t="s">
        <v>790</v>
      </c>
      <c r="C663" s="632">
        <v>585</v>
      </c>
    </row>
    <row r="664" spans="1:3" x14ac:dyDescent="0.25">
      <c r="A664" s="631">
        <v>3273910</v>
      </c>
      <c r="B664" s="632" t="s">
        <v>791</v>
      </c>
      <c r="C664" s="632">
        <v>2747</v>
      </c>
    </row>
    <row r="665" spans="1:3" x14ac:dyDescent="0.25">
      <c r="A665" s="631">
        <v>3273912</v>
      </c>
      <c r="B665" s="632" t="s">
        <v>792</v>
      </c>
      <c r="C665" s="632">
        <v>3333</v>
      </c>
    </row>
    <row r="666" spans="1:3" x14ac:dyDescent="0.25">
      <c r="A666" s="631">
        <v>3273918</v>
      </c>
      <c r="B666" s="632" t="s">
        <v>793</v>
      </c>
      <c r="C666" s="632">
        <v>585</v>
      </c>
    </row>
    <row r="667" spans="1:3" x14ac:dyDescent="0.25">
      <c r="A667" s="631">
        <v>3274210</v>
      </c>
      <c r="B667" s="632" t="s">
        <v>794</v>
      </c>
      <c r="C667" s="632">
        <v>2747</v>
      </c>
    </row>
    <row r="668" spans="1:3" x14ac:dyDescent="0.25">
      <c r="A668" s="631">
        <v>3274212</v>
      </c>
      <c r="B668" s="632" t="s">
        <v>795</v>
      </c>
      <c r="C668" s="632">
        <v>3333</v>
      </c>
    </row>
    <row r="669" spans="1:3" x14ac:dyDescent="0.25">
      <c r="A669" s="631">
        <v>3274218</v>
      </c>
      <c r="B669" s="632" t="s">
        <v>796</v>
      </c>
      <c r="C669" s="632">
        <v>585</v>
      </c>
    </row>
    <row r="670" spans="1:3" x14ac:dyDescent="0.25">
      <c r="A670" s="631">
        <v>3274510</v>
      </c>
      <c r="B670" s="632" t="s">
        <v>797</v>
      </c>
      <c r="C670" s="632">
        <v>2747</v>
      </c>
    </row>
    <row r="671" spans="1:3" x14ac:dyDescent="0.25">
      <c r="A671" s="631">
        <v>3274512</v>
      </c>
      <c r="B671" s="632" t="s">
        <v>798</v>
      </c>
      <c r="C671" s="632">
        <v>3333</v>
      </c>
    </row>
    <row r="672" spans="1:3" x14ac:dyDescent="0.25">
      <c r="A672" s="631">
        <v>3274518</v>
      </c>
      <c r="B672" s="632" t="s">
        <v>799</v>
      </c>
      <c r="C672" s="632">
        <v>585</v>
      </c>
    </row>
    <row r="673" spans="1:3" x14ac:dyDescent="0.25">
      <c r="A673" s="631">
        <v>3300002</v>
      </c>
      <c r="B673" s="632" t="s">
        <v>800</v>
      </c>
      <c r="C673" s="632">
        <v>782</v>
      </c>
    </row>
    <row r="674" spans="1:3" x14ac:dyDescent="0.25">
      <c r="A674" s="631">
        <v>3300004</v>
      </c>
      <c r="B674" s="632" t="s">
        <v>801</v>
      </c>
      <c r="C674" s="632">
        <v>236</v>
      </c>
    </row>
    <row r="675" spans="1:3" x14ac:dyDescent="0.25">
      <c r="A675" s="631">
        <v>3300005</v>
      </c>
      <c r="B675" s="632" t="s">
        <v>802</v>
      </c>
      <c r="C675" s="632">
        <v>236</v>
      </c>
    </row>
    <row r="676" spans="1:3" x14ac:dyDescent="0.25">
      <c r="A676" s="631">
        <v>3300010</v>
      </c>
      <c r="B676" s="632" t="s">
        <v>803</v>
      </c>
      <c r="C676" s="632">
        <v>212</v>
      </c>
    </row>
    <row r="677" spans="1:3" x14ac:dyDescent="0.25">
      <c r="A677" s="631">
        <v>3300014</v>
      </c>
      <c r="B677" s="632" t="s">
        <v>804</v>
      </c>
      <c r="C677" s="632">
        <v>212</v>
      </c>
    </row>
    <row r="678" spans="1:3" x14ac:dyDescent="0.25">
      <c r="A678" s="631">
        <v>3300015</v>
      </c>
      <c r="B678" s="632" t="s">
        <v>805</v>
      </c>
      <c r="C678" s="632">
        <v>212</v>
      </c>
    </row>
    <row r="679" spans="1:3" x14ac:dyDescent="0.25">
      <c r="A679" s="631">
        <v>3300016</v>
      </c>
      <c r="B679" s="632" t="s">
        <v>806</v>
      </c>
      <c r="C679" s="632">
        <v>40</v>
      </c>
    </row>
    <row r="680" spans="1:3" x14ac:dyDescent="0.25">
      <c r="A680" s="631">
        <v>3300021</v>
      </c>
      <c r="B680" s="632" t="s">
        <v>807</v>
      </c>
      <c r="C680" s="632">
        <v>212</v>
      </c>
    </row>
    <row r="681" spans="1:3" x14ac:dyDescent="0.25">
      <c r="A681" s="631">
        <v>3300024</v>
      </c>
      <c r="B681" s="632" t="s">
        <v>808</v>
      </c>
      <c r="C681" s="632">
        <v>1582</v>
      </c>
    </row>
    <row r="682" spans="1:3" x14ac:dyDescent="0.25">
      <c r="A682" s="631">
        <v>3300025</v>
      </c>
      <c r="B682" s="632" t="s">
        <v>809</v>
      </c>
      <c r="C682" s="632">
        <v>1582</v>
      </c>
    </row>
    <row r="683" spans="1:3" x14ac:dyDescent="0.25">
      <c r="A683" s="631">
        <v>3300027</v>
      </c>
      <c r="B683" s="632" t="s">
        <v>810</v>
      </c>
      <c r="C683" s="632">
        <v>1582</v>
      </c>
    </row>
    <row r="684" spans="1:3" x14ac:dyDescent="0.25">
      <c r="A684" s="631">
        <v>3300028</v>
      </c>
      <c r="B684" s="632" t="s">
        <v>811</v>
      </c>
      <c r="C684" s="632">
        <v>1447</v>
      </c>
    </row>
    <row r="685" spans="1:3" x14ac:dyDescent="0.25">
      <c r="A685" s="631">
        <v>3300029</v>
      </c>
      <c r="B685" s="632" t="s">
        <v>812</v>
      </c>
      <c r="C685" s="632">
        <v>1447</v>
      </c>
    </row>
    <row r="686" spans="1:3" x14ac:dyDescent="0.25">
      <c r="A686" s="631">
        <v>3300030</v>
      </c>
      <c r="B686" s="632" t="s">
        <v>813</v>
      </c>
      <c r="C686" s="632">
        <v>1447</v>
      </c>
    </row>
    <row r="687" spans="1:3" x14ac:dyDescent="0.25">
      <c r="A687" s="631">
        <v>3300031</v>
      </c>
      <c r="B687" s="632" t="s">
        <v>814</v>
      </c>
      <c r="C687" s="632">
        <v>1447</v>
      </c>
    </row>
    <row r="688" spans="1:3" x14ac:dyDescent="0.25">
      <c r="A688" s="631">
        <v>3300032</v>
      </c>
      <c r="B688" s="632" t="s">
        <v>815</v>
      </c>
      <c r="C688" s="632">
        <v>1447</v>
      </c>
    </row>
    <row r="689" spans="1:3" x14ac:dyDescent="0.25">
      <c r="A689" s="631">
        <v>3300033</v>
      </c>
      <c r="B689" s="632" t="s">
        <v>816</v>
      </c>
      <c r="C689" s="632">
        <v>1447</v>
      </c>
    </row>
    <row r="690" spans="1:3" x14ac:dyDescent="0.25">
      <c r="A690" s="631">
        <v>3300034</v>
      </c>
      <c r="B690" s="632" t="s">
        <v>817</v>
      </c>
      <c r="C690" s="632">
        <v>1447</v>
      </c>
    </row>
    <row r="691" spans="1:3" x14ac:dyDescent="0.25">
      <c r="A691" s="631">
        <v>3300035</v>
      </c>
      <c r="B691" s="632" t="s">
        <v>818</v>
      </c>
      <c r="C691" s="632">
        <v>1447</v>
      </c>
    </row>
    <row r="692" spans="1:3" x14ac:dyDescent="0.25">
      <c r="A692" s="631">
        <v>3300036</v>
      </c>
      <c r="B692" s="632" t="s">
        <v>819</v>
      </c>
      <c r="C692" s="632">
        <v>1447</v>
      </c>
    </row>
    <row r="693" spans="1:3" x14ac:dyDescent="0.25">
      <c r="A693" s="631">
        <v>3300037</v>
      </c>
      <c r="B693" s="632" t="s">
        <v>820</v>
      </c>
      <c r="C693" s="632">
        <v>1447</v>
      </c>
    </row>
    <row r="694" spans="1:3" x14ac:dyDescent="0.25">
      <c r="A694" s="631">
        <v>3300038</v>
      </c>
      <c r="B694" s="632" t="s">
        <v>821</v>
      </c>
      <c r="C694" s="632">
        <v>1447</v>
      </c>
    </row>
    <row r="695" spans="1:3" x14ac:dyDescent="0.25">
      <c r="A695" s="631">
        <v>3300039</v>
      </c>
      <c r="B695" s="632" t="s">
        <v>822</v>
      </c>
      <c r="C695" s="632">
        <v>1447</v>
      </c>
    </row>
    <row r="696" spans="1:3" x14ac:dyDescent="0.25">
      <c r="A696" s="631">
        <v>3300040</v>
      </c>
      <c r="B696" s="632" t="s">
        <v>823</v>
      </c>
      <c r="C696" s="632">
        <v>1447</v>
      </c>
    </row>
    <row r="697" spans="1:3" x14ac:dyDescent="0.25">
      <c r="A697" s="631">
        <v>3300041</v>
      </c>
      <c r="B697" s="632" t="s">
        <v>824</v>
      </c>
      <c r="C697" s="632">
        <v>1447</v>
      </c>
    </row>
    <row r="698" spans="1:3" x14ac:dyDescent="0.25">
      <c r="A698" s="631">
        <v>3300042</v>
      </c>
      <c r="B698" s="632" t="s">
        <v>825</v>
      </c>
      <c r="C698" s="632">
        <v>1447</v>
      </c>
    </row>
    <row r="699" spans="1:3" x14ac:dyDescent="0.25">
      <c r="A699" s="631">
        <v>3300043</v>
      </c>
      <c r="B699" s="632" t="s">
        <v>826</v>
      </c>
      <c r="C699" s="632">
        <v>1447</v>
      </c>
    </row>
    <row r="700" spans="1:3" x14ac:dyDescent="0.25">
      <c r="A700" s="631">
        <v>3300044</v>
      </c>
      <c r="B700" s="632" t="s">
        <v>827</v>
      </c>
      <c r="C700" s="632">
        <v>1447</v>
      </c>
    </row>
    <row r="701" spans="1:3" x14ac:dyDescent="0.25">
      <c r="A701" s="631">
        <v>3300045</v>
      </c>
      <c r="B701" s="632" t="s">
        <v>828</v>
      </c>
      <c r="C701" s="632">
        <v>1582</v>
      </c>
    </row>
    <row r="702" spans="1:3" x14ac:dyDescent="0.25">
      <c r="A702" s="631">
        <v>3300046</v>
      </c>
      <c r="B702" s="632" t="s">
        <v>829</v>
      </c>
      <c r="C702" s="632">
        <v>1447</v>
      </c>
    </row>
    <row r="703" spans="1:3" x14ac:dyDescent="0.25">
      <c r="A703" s="631">
        <v>3300047</v>
      </c>
      <c r="B703" s="632" t="s">
        <v>830</v>
      </c>
      <c r="C703" s="632">
        <v>1447</v>
      </c>
    </row>
    <row r="704" spans="1:3" x14ac:dyDescent="0.25">
      <c r="A704" s="631">
        <v>3300050</v>
      </c>
      <c r="B704" s="632" t="s">
        <v>831</v>
      </c>
      <c r="C704" s="632">
        <v>1582</v>
      </c>
    </row>
    <row r="705" spans="1:3" x14ac:dyDescent="0.25">
      <c r="A705" s="631">
        <v>3300051</v>
      </c>
      <c r="B705" s="632" t="s">
        <v>832</v>
      </c>
      <c r="C705" s="632">
        <v>1447</v>
      </c>
    </row>
    <row r="706" spans="1:3" x14ac:dyDescent="0.25">
      <c r="A706" s="631">
        <v>3300052</v>
      </c>
      <c r="B706" s="632" t="s">
        <v>833</v>
      </c>
      <c r="C706" s="632">
        <v>1447</v>
      </c>
    </row>
    <row r="707" spans="1:3" x14ac:dyDescent="0.25">
      <c r="A707" s="631">
        <v>3300054</v>
      </c>
      <c r="B707" s="632" t="s">
        <v>834</v>
      </c>
      <c r="C707" s="632">
        <v>1764</v>
      </c>
    </row>
    <row r="708" spans="1:3" x14ac:dyDescent="0.25">
      <c r="A708" s="631">
        <v>3300055</v>
      </c>
      <c r="B708" s="632" t="s">
        <v>835</v>
      </c>
      <c r="C708" s="632">
        <v>20</v>
      </c>
    </row>
    <row r="709" spans="1:3" x14ac:dyDescent="0.25">
      <c r="A709" s="631">
        <v>3300056</v>
      </c>
      <c r="B709" s="632" t="s">
        <v>836</v>
      </c>
      <c r="C709" s="632">
        <v>1121</v>
      </c>
    </row>
    <row r="710" spans="1:3" x14ac:dyDescent="0.25">
      <c r="A710" s="631">
        <v>3300057</v>
      </c>
      <c r="B710" s="632" t="s">
        <v>837</v>
      </c>
      <c r="C710" s="632">
        <v>1111</v>
      </c>
    </row>
    <row r="711" spans="1:3" x14ac:dyDescent="0.25">
      <c r="A711" s="631">
        <v>3300224</v>
      </c>
      <c r="B711" s="632" t="s">
        <v>838</v>
      </c>
      <c r="C711" s="632">
        <v>1529</v>
      </c>
    </row>
    <row r="712" spans="1:3" x14ac:dyDescent="0.25">
      <c r="A712" s="631">
        <v>3300227</v>
      </c>
      <c r="B712" s="632" t="s">
        <v>839</v>
      </c>
      <c r="C712" s="632">
        <v>1529</v>
      </c>
    </row>
    <row r="713" spans="1:3" x14ac:dyDescent="0.25">
      <c r="A713" s="631">
        <v>3300230</v>
      </c>
      <c r="B713" s="632" t="s">
        <v>840</v>
      </c>
      <c r="C713" s="632">
        <v>1529</v>
      </c>
    </row>
    <row r="714" spans="1:3" x14ac:dyDescent="0.25">
      <c r="A714" s="631">
        <v>3300233</v>
      </c>
      <c r="B714" s="632" t="s">
        <v>841</v>
      </c>
      <c r="C714" s="632">
        <v>1529</v>
      </c>
    </row>
    <row r="715" spans="1:3" x14ac:dyDescent="0.25">
      <c r="A715" s="631">
        <v>3300327</v>
      </c>
      <c r="B715" s="632" t="s">
        <v>842</v>
      </c>
      <c r="C715" s="632">
        <v>1529</v>
      </c>
    </row>
    <row r="716" spans="1:3" x14ac:dyDescent="0.25">
      <c r="A716" s="631">
        <v>3300330</v>
      </c>
      <c r="B716" s="632" t="s">
        <v>843</v>
      </c>
      <c r="C716" s="632">
        <v>1529</v>
      </c>
    </row>
    <row r="717" spans="1:3" x14ac:dyDescent="0.25">
      <c r="A717" s="631">
        <v>3300333</v>
      </c>
      <c r="B717" s="632" t="s">
        <v>844</v>
      </c>
      <c r="C717" s="632">
        <v>1529</v>
      </c>
    </row>
    <row r="718" spans="1:3" x14ac:dyDescent="0.25">
      <c r="A718" s="631">
        <v>3301124</v>
      </c>
      <c r="B718" s="632" t="s">
        <v>845</v>
      </c>
      <c r="C718" s="632">
        <v>748</v>
      </c>
    </row>
    <row r="719" spans="1:3" x14ac:dyDescent="0.25">
      <c r="A719" s="631">
        <v>3301127</v>
      </c>
      <c r="B719" s="632" t="s">
        <v>846</v>
      </c>
      <c r="C719" s="632">
        <v>832</v>
      </c>
    </row>
    <row r="720" spans="1:3" x14ac:dyDescent="0.25">
      <c r="A720" s="631">
        <v>3301130</v>
      </c>
      <c r="B720" s="632" t="s">
        <v>847</v>
      </c>
      <c r="C720" s="632">
        <v>832</v>
      </c>
    </row>
    <row r="721" spans="1:3" x14ac:dyDescent="0.25">
      <c r="A721" s="631">
        <v>3301133</v>
      </c>
      <c r="B721" s="632" t="s">
        <v>848</v>
      </c>
      <c r="C721" s="632">
        <v>761</v>
      </c>
    </row>
    <row r="722" spans="1:3" x14ac:dyDescent="0.25">
      <c r="A722" s="631">
        <v>3301136</v>
      </c>
      <c r="B722" s="632" t="s">
        <v>849</v>
      </c>
      <c r="C722" s="632">
        <v>832</v>
      </c>
    </row>
    <row r="723" spans="1:3" x14ac:dyDescent="0.25">
      <c r="A723" s="631">
        <v>3301139</v>
      </c>
      <c r="B723" s="632" t="s">
        <v>850</v>
      </c>
      <c r="C723" s="632">
        <v>832</v>
      </c>
    </row>
    <row r="724" spans="1:3" x14ac:dyDescent="0.25">
      <c r="A724" s="631">
        <v>3301142</v>
      </c>
      <c r="B724" s="632" t="s">
        <v>851</v>
      </c>
      <c r="C724" s="632">
        <v>832</v>
      </c>
    </row>
    <row r="725" spans="1:3" x14ac:dyDescent="0.25">
      <c r="A725" s="631">
        <v>3301145</v>
      </c>
      <c r="B725" s="632" t="s">
        <v>852</v>
      </c>
      <c r="C725" s="632">
        <v>761</v>
      </c>
    </row>
    <row r="726" spans="1:3" x14ac:dyDescent="0.25">
      <c r="A726" s="631">
        <v>3301150</v>
      </c>
      <c r="B726" s="632" t="s">
        <v>853</v>
      </c>
      <c r="C726" s="632">
        <v>761</v>
      </c>
    </row>
    <row r="727" spans="1:3" x14ac:dyDescent="0.25">
      <c r="A727" s="631">
        <v>3301224</v>
      </c>
      <c r="B727" s="632" t="s">
        <v>854</v>
      </c>
      <c r="C727" s="632">
        <v>1806</v>
      </c>
    </row>
    <row r="728" spans="1:3" x14ac:dyDescent="0.25">
      <c r="A728" s="631">
        <v>3301227</v>
      </c>
      <c r="B728" s="632" t="s">
        <v>855</v>
      </c>
      <c r="C728" s="632">
        <v>1806</v>
      </c>
    </row>
    <row r="729" spans="1:3" x14ac:dyDescent="0.25">
      <c r="A729" s="631">
        <v>3302103</v>
      </c>
      <c r="B729" s="632" t="s">
        <v>856</v>
      </c>
      <c r="C729" s="632">
        <v>242</v>
      </c>
    </row>
    <row r="730" spans="1:3" x14ac:dyDescent="0.25">
      <c r="A730" s="631">
        <v>3302104</v>
      </c>
      <c r="B730" s="632" t="s">
        <v>857</v>
      </c>
      <c r="C730" s="632">
        <v>79</v>
      </c>
    </row>
    <row r="731" spans="1:3" x14ac:dyDescent="0.25">
      <c r="A731" s="631">
        <v>3302105</v>
      </c>
      <c r="B731" s="632" t="s">
        <v>858</v>
      </c>
      <c r="C731" s="632">
        <v>79</v>
      </c>
    </row>
    <row r="732" spans="1:3" x14ac:dyDescent="0.25">
      <c r="A732" s="631">
        <v>3302106</v>
      </c>
      <c r="B732" s="632" t="s">
        <v>859</v>
      </c>
      <c r="C732" s="632">
        <v>125</v>
      </c>
    </row>
    <row r="733" spans="1:3" x14ac:dyDescent="0.25">
      <c r="A733" s="631">
        <v>3302107</v>
      </c>
      <c r="B733" s="632" t="s">
        <v>860</v>
      </c>
      <c r="C733" s="632">
        <v>79</v>
      </c>
    </row>
    <row r="734" spans="1:3" x14ac:dyDescent="0.25">
      <c r="A734" s="631">
        <v>3302109</v>
      </c>
      <c r="B734" s="632" t="s">
        <v>861</v>
      </c>
      <c r="C734" s="632">
        <v>112</v>
      </c>
    </row>
    <row r="735" spans="1:3" x14ac:dyDescent="0.25">
      <c r="A735" s="631">
        <v>3302110</v>
      </c>
      <c r="B735" s="632" t="s">
        <v>862</v>
      </c>
      <c r="C735" s="632">
        <v>687</v>
      </c>
    </row>
    <row r="736" spans="1:3" x14ac:dyDescent="0.25">
      <c r="A736" s="631">
        <v>3302113</v>
      </c>
      <c r="B736" s="632" t="s">
        <v>863</v>
      </c>
      <c r="C736" s="632">
        <v>57</v>
      </c>
    </row>
    <row r="737" spans="1:3" x14ac:dyDescent="0.25">
      <c r="A737" s="631">
        <v>3302130</v>
      </c>
      <c r="B737" s="632" t="s">
        <v>864</v>
      </c>
      <c r="C737" s="632">
        <v>676</v>
      </c>
    </row>
    <row r="738" spans="1:3" x14ac:dyDescent="0.25">
      <c r="A738" s="631">
        <v>3302131</v>
      </c>
      <c r="B738" s="632" t="s">
        <v>865</v>
      </c>
      <c r="C738" s="632">
        <v>676</v>
      </c>
    </row>
    <row r="739" spans="1:3" x14ac:dyDescent="0.25">
      <c r="A739" s="631">
        <v>3302133</v>
      </c>
      <c r="B739" s="632" t="s">
        <v>866</v>
      </c>
      <c r="C739" s="632">
        <v>676</v>
      </c>
    </row>
    <row r="740" spans="1:3" x14ac:dyDescent="0.25">
      <c r="A740" s="631">
        <v>3302134</v>
      </c>
      <c r="B740" s="632" t="s">
        <v>867</v>
      </c>
      <c r="C740" s="632">
        <v>676</v>
      </c>
    </row>
    <row r="741" spans="1:3" x14ac:dyDescent="0.25">
      <c r="A741" s="631">
        <v>3302136</v>
      </c>
      <c r="B741" s="632" t="s">
        <v>868</v>
      </c>
      <c r="C741" s="632">
        <v>676</v>
      </c>
    </row>
    <row r="742" spans="1:3" x14ac:dyDescent="0.25">
      <c r="A742" s="631">
        <v>3302137</v>
      </c>
      <c r="B742" s="632" t="s">
        <v>869</v>
      </c>
      <c r="C742" s="632">
        <v>676</v>
      </c>
    </row>
    <row r="743" spans="1:3" x14ac:dyDescent="0.25">
      <c r="A743" s="631">
        <v>3302139</v>
      </c>
      <c r="B743" s="632" t="s">
        <v>870</v>
      </c>
      <c r="C743" s="632">
        <v>676</v>
      </c>
    </row>
    <row r="744" spans="1:3" x14ac:dyDescent="0.25">
      <c r="A744" s="631">
        <v>3302140</v>
      </c>
      <c r="B744" s="632" t="s">
        <v>871</v>
      </c>
      <c r="C744" s="632">
        <v>676</v>
      </c>
    </row>
    <row r="745" spans="1:3" x14ac:dyDescent="0.25">
      <c r="A745" s="631">
        <v>3302142</v>
      </c>
      <c r="B745" s="632" t="s">
        <v>872</v>
      </c>
      <c r="C745" s="632">
        <v>676</v>
      </c>
    </row>
    <row r="746" spans="1:3" x14ac:dyDescent="0.25">
      <c r="A746" s="631">
        <v>3302143</v>
      </c>
      <c r="B746" s="632" t="s">
        <v>873</v>
      </c>
      <c r="C746" s="632">
        <v>676</v>
      </c>
    </row>
    <row r="747" spans="1:3" x14ac:dyDescent="0.25">
      <c r="A747" s="631">
        <v>3302145</v>
      </c>
      <c r="B747" s="632" t="s">
        <v>874</v>
      </c>
      <c r="C747" s="632">
        <v>676</v>
      </c>
    </row>
    <row r="748" spans="1:3" x14ac:dyDescent="0.25">
      <c r="A748" s="631">
        <v>3302146</v>
      </c>
      <c r="B748" s="632" t="s">
        <v>875</v>
      </c>
      <c r="C748" s="632">
        <v>676</v>
      </c>
    </row>
    <row r="749" spans="1:3" x14ac:dyDescent="0.25">
      <c r="A749" s="631">
        <v>3302150</v>
      </c>
      <c r="B749" s="632" t="s">
        <v>876</v>
      </c>
      <c r="C749" s="632">
        <v>676</v>
      </c>
    </row>
    <row r="750" spans="1:3" x14ac:dyDescent="0.25">
      <c r="A750" s="631">
        <v>3302151</v>
      </c>
      <c r="B750" s="632" t="s">
        <v>877</v>
      </c>
      <c r="C750" s="632">
        <v>676</v>
      </c>
    </row>
    <row r="751" spans="1:3" x14ac:dyDescent="0.25">
      <c r="A751" s="631">
        <v>3302222</v>
      </c>
      <c r="B751" s="632" t="s">
        <v>878</v>
      </c>
      <c r="C751" s="632">
        <v>610</v>
      </c>
    </row>
    <row r="752" spans="1:3" x14ac:dyDescent="0.25">
      <c r="A752" s="631">
        <v>3302324</v>
      </c>
      <c r="B752" s="632" t="s">
        <v>879</v>
      </c>
      <c r="C752" s="632">
        <v>1447</v>
      </c>
    </row>
    <row r="753" spans="1:5" x14ac:dyDescent="0.25">
      <c r="A753" s="631">
        <v>3302325</v>
      </c>
      <c r="B753" s="632" t="s">
        <v>880</v>
      </c>
      <c r="C753" s="632">
        <v>1447</v>
      </c>
    </row>
    <row r="754" spans="1:5" x14ac:dyDescent="0.25">
      <c r="A754" s="631">
        <v>3302327</v>
      </c>
      <c r="B754" s="632" t="s">
        <v>881</v>
      </c>
      <c r="C754" s="632">
        <v>1447</v>
      </c>
    </row>
    <row r="755" spans="1:5" x14ac:dyDescent="0.25">
      <c r="A755" s="631">
        <v>3302328</v>
      </c>
      <c r="B755" s="632" t="s">
        <v>882</v>
      </c>
      <c r="C755" s="632">
        <v>1447</v>
      </c>
    </row>
    <row r="756" spans="1:5" x14ac:dyDescent="0.25">
      <c r="A756" s="631">
        <v>3302330</v>
      </c>
      <c r="B756" s="632" t="s">
        <v>883</v>
      </c>
      <c r="C756" s="632">
        <v>1447</v>
      </c>
      <c r="E756">
        <v>3611136</v>
      </c>
    </row>
    <row r="757" spans="1:5" x14ac:dyDescent="0.25">
      <c r="A757" s="631">
        <v>3302331</v>
      </c>
      <c r="B757" s="632" t="s">
        <v>884</v>
      </c>
      <c r="C757" s="632">
        <v>1447</v>
      </c>
    </row>
    <row r="758" spans="1:5" x14ac:dyDescent="0.25">
      <c r="A758" s="631">
        <v>3302333</v>
      </c>
      <c r="B758" s="632" t="s">
        <v>885</v>
      </c>
      <c r="C758" s="632">
        <v>1447</v>
      </c>
    </row>
    <row r="759" spans="1:5" x14ac:dyDescent="0.25">
      <c r="A759" s="631">
        <v>3302334</v>
      </c>
      <c r="B759" s="632" t="s">
        <v>886</v>
      </c>
      <c r="C759" s="632">
        <v>1447</v>
      </c>
    </row>
    <row r="760" spans="1:5" x14ac:dyDescent="0.25">
      <c r="A760" s="633">
        <v>3302336</v>
      </c>
      <c r="B760" s="632" t="s">
        <v>887</v>
      </c>
      <c r="C760" s="632">
        <v>1447</v>
      </c>
    </row>
    <row r="761" spans="1:5" x14ac:dyDescent="0.25">
      <c r="A761" s="631">
        <v>3302337</v>
      </c>
      <c r="B761" s="632" t="s">
        <v>888</v>
      </c>
      <c r="C761" s="632">
        <v>1447</v>
      </c>
    </row>
    <row r="762" spans="1:5" x14ac:dyDescent="0.25">
      <c r="A762" s="631">
        <v>3302339</v>
      </c>
      <c r="B762" s="632" t="s">
        <v>889</v>
      </c>
      <c r="C762" s="632">
        <v>1447</v>
      </c>
      <c r="E762">
        <v>4402430</v>
      </c>
    </row>
    <row r="763" spans="1:5" x14ac:dyDescent="0.25">
      <c r="A763" s="631">
        <v>3302340</v>
      </c>
      <c r="B763" s="632" t="s">
        <v>890</v>
      </c>
      <c r="C763" s="632">
        <v>1447</v>
      </c>
    </row>
    <row r="764" spans="1:5" x14ac:dyDescent="0.25">
      <c r="A764" s="631">
        <v>3302342</v>
      </c>
      <c r="B764" s="632" t="s">
        <v>891</v>
      </c>
      <c r="C764" s="632">
        <v>1447</v>
      </c>
    </row>
    <row r="765" spans="1:5" x14ac:dyDescent="0.25">
      <c r="A765" s="631">
        <v>3302343</v>
      </c>
      <c r="B765" s="632" t="s">
        <v>892</v>
      </c>
      <c r="C765" s="632">
        <v>1447</v>
      </c>
    </row>
    <row r="766" spans="1:5" x14ac:dyDescent="0.25">
      <c r="A766" s="631">
        <v>3302345</v>
      </c>
      <c r="B766" s="632" t="s">
        <v>893</v>
      </c>
      <c r="C766" s="632">
        <v>1447</v>
      </c>
    </row>
    <row r="767" spans="1:5" x14ac:dyDescent="0.25">
      <c r="A767" s="631">
        <v>3302346</v>
      </c>
      <c r="B767" s="632" t="s">
        <v>894</v>
      </c>
      <c r="C767" s="632">
        <v>1447</v>
      </c>
    </row>
    <row r="768" spans="1:5" x14ac:dyDescent="0.25">
      <c r="A768" s="631">
        <v>3302350</v>
      </c>
      <c r="B768" s="632" t="s">
        <v>895</v>
      </c>
      <c r="C768" s="632">
        <v>1447</v>
      </c>
    </row>
    <row r="769" spans="1:3" x14ac:dyDescent="0.25">
      <c r="A769" s="631">
        <v>3302351</v>
      </c>
      <c r="B769" s="632" t="s">
        <v>896</v>
      </c>
      <c r="C769" s="632">
        <v>1447</v>
      </c>
    </row>
    <row r="770" spans="1:3" x14ac:dyDescent="0.25">
      <c r="A770" s="631">
        <v>3302510</v>
      </c>
      <c r="B770" s="632" t="s">
        <v>897</v>
      </c>
      <c r="C770" s="632">
        <v>1320</v>
      </c>
    </row>
    <row r="771" spans="1:3" x14ac:dyDescent="0.25">
      <c r="A771" s="631">
        <v>3302520</v>
      </c>
      <c r="B771" s="632" t="s">
        <v>898</v>
      </c>
      <c r="C771" s="632">
        <v>1491</v>
      </c>
    </row>
    <row r="772" spans="1:3" x14ac:dyDescent="0.25">
      <c r="A772" s="631">
        <v>3302530</v>
      </c>
      <c r="B772" s="632" t="s">
        <v>899</v>
      </c>
      <c r="C772" s="632">
        <v>1662</v>
      </c>
    </row>
    <row r="773" spans="1:3" x14ac:dyDescent="0.25">
      <c r="A773" s="631">
        <v>3302540</v>
      </c>
      <c r="B773" s="632" t="s">
        <v>900</v>
      </c>
      <c r="C773" s="632">
        <v>1833</v>
      </c>
    </row>
    <row r="774" spans="1:3" x14ac:dyDescent="0.25">
      <c r="A774" s="631">
        <v>3302550</v>
      </c>
      <c r="B774" s="632" t="s">
        <v>901</v>
      </c>
      <c r="C774" s="632">
        <v>2003</v>
      </c>
    </row>
    <row r="775" spans="1:3" x14ac:dyDescent="0.25">
      <c r="A775" s="631">
        <v>3302560</v>
      </c>
      <c r="B775" s="632" t="s">
        <v>902</v>
      </c>
      <c r="C775" s="632">
        <v>2175</v>
      </c>
    </row>
    <row r="776" spans="1:3" x14ac:dyDescent="0.25">
      <c r="A776" s="631">
        <v>3302570</v>
      </c>
      <c r="B776" s="632" t="s">
        <v>903</v>
      </c>
      <c r="C776" s="632">
        <v>2346</v>
      </c>
    </row>
    <row r="777" spans="1:3" x14ac:dyDescent="0.25">
      <c r="A777" s="631">
        <v>3302710</v>
      </c>
      <c r="B777" s="632" t="s">
        <v>904</v>
      </c>
      <c r="C777" s="632">
        <v>1443</v>
      </c>
    </row>
    <row r="778" spans="1:3" x14ac:dyDescent="0.25">
      <c r="A778" s="631">
        <v>3302720</v>
      </c>
      <c r="B778" s="632" t="s">
        <v>905</v>
      </c>
      <c r="C778" s="632">
        <v>1629</v>
      </c>
    </row>
    <row r="779" spans="1:3" x14ac:dyDescent="0.25">
      <c r="A779" s="631">
        <v>3302730</v>
      </c>
      <c r="B779" s="632" t="s">
        <v>906</v>
      </c>
      <c r="C779" s="632">
        <v>1476</v>
      </c>
    </row>
    <row r="780" spans="1:3" x14ac:dyDescent="0.25">
      <c r="A780" s="631">
        <v>3302740</v>
      </c>
      <c r="B780" s="632" t="s">
        <v>907</v>
      </c>
      <c r="C780" s="632">
        <v>2003</v>
      </c>
    </row>
    <row r="781" spans="1:3" x14ac:dyDescent="0.25">
      <c r="A781" s="631">
        <v>3302750</v>
      </c>
      <c r="B781" s="632" t="s">
        <v>908</v>
      </c>
      <c r="C781" s="632">
        <v>1779</v>
      </c>
    </row>
    <row r="782" spans="1:3" x14ac:dyDescent="0.25">
      <c r="A782" s="631">
        <v>3302760</v>
      </c>
      <c r="B782" s="632" t="s">
        <v>909</v>
      </c>
      <c r="C782" s="632">
        <v>1931</v>
      </c>
    </row>
    <row r="783" spans="1:3" x14ac:dyDescent="0.25">
      <c r="A783" s="631">
        <v>3302770</v>
      </c>
      <c r="B783" s="632" t="s">
        <v>910</v>
      </c>
      <c r="C783" s="632">
        <v>2083</v>
      </c>
    </row>
    <row r="784" spans="1:3" x14ac:dyDescent="0.25">
      <c r="A784" s="631">
        <v>3302824</v>
      </c>
      <c r="B784" s="632" t="s">
        <v>911</v>
      </c>
      <c r="C784" s="632">
        <v>676</v>
      </c>
    </row>
    <row r="785" spans="1:3" x14ac:dyDescent="0.25">
      <c r="A785" s="631">
        <v>3302827</v>
      </c>
      <c r="B785" s="632" t="s">
        <v>912</v>
      </c>
      <c r="C785" s="632">
        <v>676</v>
      </c>
    </row>
    <row r="786" spans="1:3" x14ac:dyDescent="0.25">
      <c r="A786" s="631">
        <v>3302830</v>
      </c>
      <c r="B786" s="632" t="s">
        <v>913</v>
      </c>
      <c r="C786" s="632">
        <v>676</v>
      </c>
    </row>
    <row r="787" spans="1:3" x14ac:dyDescent="0.25">
      <c r="A787" s="631">
        <v>3302833</v>
      </c>
      <c r="B787" s="632" t="s">
        <v>914</v>
      </c>
      <c r="C787" s="632">
        <v>676</v>
      </c>
    </row>
    <row r="788" spans="1:3" x14ac:dyDescent="0.25">
      <c r="A788" s="631">
        <v>3302836</v>
      </c>
      <c r="B788" s="632" t="s">
        <v>915</v>
      </c>
      <c r="C788" s="632">
        <v>676</v>
      </c>
    </row>
    <row r="789" spans="1:3" x14ac:dyDescent="0.25">
      <c r="A789" s="631">
        <v>3302839</v>
      </c>
      <c r="B789" s="632" t="s">
        <v>916</v>
      </c>
      <c r="C789" s="632">
        <v>676</v>
      </c>
    </row>
    <row r="790" spans="1:3" x14ac:dyDescent="0.25">
      <c r="A790" s="631">
        <v>3302842</v>
      </c>
      <c r="B790" s="632" t="s">
        <v>917</v>
      </c>
      <c r="C790" s="632">
        <v>676</v>
      </c>
    </row>
    <row r="791" spans="1:3" x14ac:dyDescent="0.25">
      <c r="A791" s="631">
        <v>3302845</v>
      </c>
      <c r="B791" s="632" t="s">
        <v>918</v>
      </c>
      <c r="C791" s="632">
        <v>676</v>
      </c>
    </row>
    <row r="792" spans="1:3" x14ac:dyDescent="0.25">
      <c r="A792" s="631">
        <v>3302850</v>
      </c>
      <c r="B792" s="632" t="s">
        <v>919</v>
      </c>
      <c r="C792" s="632">
        <v>676</v>
      </c>
    </row>
    <row r="793" spans="1:3" x14ac:dyDescent="0.25">
      <c r="A793" s="631">
        <v>3302924</v>
      </c>
      <c r="B793" s="632" t="s">
        <v>920</v>
      </c>
      <c r="C793" s="632">
        <v>832</v>
      </c>
    </row>
    <row r="794" spans="1:3" x14ac:dyDescent="0.25">
      <c r="A794" s="631">
        <v>3302927</v>
      </c>
      <c r="B794" s="632" t="s">
        <v>921</v>
      </c>
      <c r="C794" s="632">
        <v>676</v>
      </c>
    </row>
    <row r="795" spans="1:3" x14ac:dyDescent="0.25">
      <c r="A795" s="631">
        <v>3302930</v>
      </c>
      <c r="B795" s="632" t="s">
        <v>922</v>
      </c>
      <c r="C795" s="632">
        <v>676</v>
      </c>
    </row>
    <row r="796" spans="1:3" x14ac:dyDescent="0.25">
      <c r="A796" s="631">
        <v>3302933</v>
      </c>
      <c r="B796" s="632" t="s">
        <v>923</v>
      </c>
      <c r="C796" s="632">
        <v>832</v>
      </c>
    </row>
    <row r="797" spans="1:3" x14ac:dyDescent="0.25">
      <c r="A797" s="631">
        <v>3302936</v>
      </c>
      <c r="B797" s="632" t="s">
        <v>924</v>
      </c>
      <c r="C797" s="632">
        <v>676</v>
      </c>
    </row>
    <row r="798" spans="1:3" x14ac:dyDescent="0.25">
      <c r="A798" s="631">
        <v>3302939</v>
      </c>
      <c r="B798" s="632" t="s">
        <v>925</v>
      </c>
      <c r="C798" s="632">
        <v>676</v>
      </c>
    </row>
    <row r="799" spans="1:3" x14ac:dyDescent="0.25">
      <c r="A799" s="631">
        <v>3302942</v>
      </c>
      <c r="B799" s="632" t="s">
        <v>926</v>
      </c>
      <c r="C799" s="632">
        <v>676</v>
      </c>
    </row>
    <row r="800" spans="1:3" x14ac:dyDescent="0.25">
      <c r="A800" s="631">
        <v>3303024</v>
      </c>
      <c r="B800" s="632" t="s">
        <v>927</v>
      </c>
      <c r="C800" s="632">
        <v>1349</v>
      </c>
    </row>
    <row r="801" spans="1:3" x14ac:dyDescent="0.25">
      <c r="A801" s="631">
        <v>3303027</v>
      </c>
      <c r="B801" s="632" t="s">
        <v>928</v>
      </c>
      <c r="C801" s="632">
        <v>1349</v>
      </c>
    </row>
    <row r="802" spans="1:3" x14ac:dyDescent="0.25">
      <c r="A802" s="631">
        <v>3303030</v>
      </c>
      <c r="B802" s="632" t="s">
        <v>929</v>
      </c>
      <c r="C802" s="632">
        <v>1349</v>
      </c>
    </row>
    <row r="803" spans="1:3" x14ac:dyDescent="0.25">
      <c r="A803" s="631">
        <v>3303033</v>
      </c>
      <c r="B803" s="632" t="s">
        <v>930</v>
      </c>
      <c r="C803" s="632">
        <v>1349</v>
      </c>
    </row>
    <row r="804" spans="1:3" x14ac:dyDescent="0.25">
      <c r="A804" s="631">
        <v>3303124</v>
      </c>
      <c r="B804" s="632" t="s">
        <v>931</v>
      </c>
      <c r="C804" s="632">
        <v>1349</v>
      </c>
    </row>
    <row r="805" spans="1:3" x14ac:dyDescent="0.25">
      <c r="A805" s="631">
        <v>3303127</v>
      </c>
      <c r="B805" s="632" t="s">
        <v>932</v>
      </c>
      <c r="C805" s="632">
        <v>1349</v>
      </c>
    </row>
    <row r="806" spans="1:3" x14ac:dyDescent="0.25">
      <c r="A806" s="631">
        <v>3303130</v>
      </c>
      <c r="B806" s="632" t="s">
        <v>933</v>
      </c>
      <c r="C806" s="632">
        <v>1349</v>
      </c>
    </row>
    <row r="807" spans="1:3" x14ac:dyDescent="0.25">
      <c r="A807" s="631">
        <v>3303133</v>
      </c>
      <c r="B807" s="632" t="s">
        <v>934</v>
      </c>
      <c r="C807" s="632">
        <v>1349</v>
      </c>
    </row>
    <row r="808" spans="1:3" x14ac:dyDescent="0.25">
      <c r="A808" s="631">
        <v>3303310</v>
      </c>
      <c r="B808" s="632" t="s">
        <v>935</v>
      </c>
      <c r="C808" s="632">
        <v>0</v>
      </c>
    </row>
    <row r="809" spans="1:3" x14ac:dyDescent="0.25">
      <c r="A809" s="631">
        <v>3303312</v>
      </c>
      <c r="B809" s="632" t="s">
        <v>936</v>
      </c>
      <c r="C809" s="632">
        <v>0</v>
      </c>
    </row>
    <row r="810" spans="1:3" x14ac:dyDescent="0.25">
      <c r="A810" s="631">
        <v>3303427</v>
      </c>
      <c r="B810" s="632" t="s">
        <v>937</v>
      </c>
      <c r="C810" s="632">
        <v>676</v>
      </c>
    </row>
    <row r="811" spans="1:3" x14ac:dyDescent="0.25">
      <c r="A811" s="631">
        <v>3303533</v>
      </c>
      <c r="B811" s="632" t="s">
        <v>938</v>
      </c>
      <c r="C811" s="632">
        <v>2279</v>
      </c>
    </row>
    <row r="812" spans="1:3" x14ac:dyDescent="0.25">
      <c r="A812" s="631">
        <v>3303536</v>
      </c>
      <c r="B812" s="632" t="s">
        <v>939</v>
      </c>
      <c r="C812" s="632">
        <v>2279</v>
      </c>
    </row>
    <row r="813" spans="1:3" x14ac:dyDescent="0.25">
      <c r="A813" s="631">
        <v>3303539</v>
      </c>
      <c r="B813" s="632" t="s">
        <v>940</v>
      </c>
      <c r="C813" s="632">
        <v>2279</v>
      </c>
    </row>
    <row r="814" spans="1:3" x14ac:dyDescent="0.25">
      <c r="A814" s="631">
        <v>3303542</v>
      </c>
      <c r="B814" s="632" t="s">
        <v>941</v>
      </c>
      <c r="C814" s="632">
        <v>2279</v>
      </c>
    </row>
    <row r="815" spans="1:3" x14ac:dyDescent="0.25">
      <c r="A815" s="631">
        <v>3303545</v>
      </c>
      <c r="B815" s="632" t="s">
        <v>942</v>
      </c>
      <c r="C815" s="632">
        <v>2279</v>
      </c>
    </row>
    <row r="816" spans="1:3" x14ac:dyDescent="0.25">
      <c r="A816" s="631">
        <v>3303610</v>
      </c>
      <c r="B816" s="632" t="s">
        <v>943</v>
      </c>
      <c r="C816" s="632">
        <v>0</v>
      </c>
    </row>
    <row r="817" spans="1:3" x14ac:dyDescent="0.25">
      <c r="A817" s="631">
        <v>3303612</v>
      </c>
      <c r="B817" s="632" t="s">
        <v>944</v>
      </c>
      <c r="C817" s="632">
        <v>0</v>
      </c>
    </row>
    <row r="818" spans="1:3" x14ac:dyDescent="0.25">
      <c r="A818" s="631">
        <v>3303910</v>
      </c>
      <c r="B818" s="632" t="s">
        <v>945</v>
      </c>
      <c r="C818" s="632">
        <v>0</v>
      </c>
    </row>
    <row r="819" spans="1:3" x14ac:dyDescent="0.25">
      <c r="A819" s="631">
        <v>3303912</v>
      </c>
      <c r="B819" s="632" t="s">
        <v>946</v>
      </c>
      <c r="C819" s="632">
        <v>0</v>
      </c>
    </row>
    <row r="820" spans="1:3" x14ac:dyDescent="0.25">
      <c r="A820" s="631">
        <v>3304210</v>
      </c>
      <c r="B820" s="632" t="s">
        <v>947</v>
      </c>
      <c r="C820" s="632">
        <v>0</v>
      </c>
    </row>
    <row r="821" spans="1:3" x14ac:dyDescent="0.25">
      <c r="A821" s="631">
        <v>3304212</v>
      </c>
      <c r="B821" s="632" t="s">
        <v>948</v>
      </c>
      <c r="C821" s="632">
        <v>0</v>
      </c>
    </row>
    <row r="822" spans="1:3" x14ac:dyDescent="0.25">
      <c r="A822" s="631">
        <v>3304510</v>
      </c>
      <c r="B822" s="632" t="s">
        <v>949</v>
      </c>
      <c r="C822" s="632">
        <v>0</v>
      </c>
    </row>
    <row r="823" spans="1:3" x14ac:dyDescent="0.25">
      <c r="A823" s="631">
        <v>3304512</v>
      </c>
      <c r="B823" s="632" t="s">
        <v>950</v>
      </c>
      <c r="C823" s="632">
        <v>0</v>
      </c>
    </row>
    <row r="824" spans="1:3" x14ac:dyDescent="0.25">
      <c r="A824" s="631">
        <v>3331505</v>
      </c>
      <c r="B824" s="632" t="s">
        <v>951</v>
      </c>
      <c r="C824" s="632">
        <v>154</v>
      </c>
    </row>
    <row r="825" spans="1:3" x14ac:dyDescent="0.25">
      <c r="A825" s="631">
        <v>3331900</v>
      </c>
      <c r="B825" s="632" t="s">
        <v>952</v>
      </c>
      <c r="C825" s="632">
        <v>125</v>
      </c>
    </row>
    <row r="826" spans="1:3" x14ac:dyDescent="0.25">
      <c r="A826" s="631">
        <v>3333339</v>
      </c>
      <c r="B826" s="632" t="s">
        <v>953</v>
      </c>
      <c r="C826" s="632">
        <v>125</v>
      </c>
    </row>
    <row r="827" spans="1:3" x14ac:dyDescent="0.25">
      <c r="A827" s="631">
        <v>3333340</v>
      </c>
      <c r="B827" s="632" t="s">
        <v>954</v>
      </c>
      <c r="C827" s="632">
        <v>125</v>
      </c>
    </row>
    <row r="828" spans="1:3" x14ac:dyDescent="0.25">
      <c r="A828" s="631">
        <v>3333346</v>
      </c>
      <c r="B828" s="632" t="s">
        <v>955</v>
      </c>
      <c r="C828" s="632">
        <v>125</v>
      </c>
    </row>
    <row r="829" spans="1:3" x14ac:dyDescent="0.25">
      <c r="A829" s="631">
        <v>3333347</v>
      </c>
      <c r="B829" s="632" t="s">
        <v>956</v>
      </c>
      <c r="C829" s="632">
        <v>128</v>
      </c>
    </row>
    <row r="830" spans="1:3" x14ac:dyDescent="0.25">
      <c r="A830" s="631">
        <v>3333349</v>
      </c>
      <c r="B830" s="632" t="s">
        <v>957</v>
      </c>
      <c r="C830" s="632">
        <v>125</v>
      </c>
    </row>
    <row r="831" spans="1:3" x14ac:dyDescent="0.25">
      <c r="A831" s="631">
        <v>3333350</v>
      </c>
      <c r="B831" s="632" t="s">
        <v>958</v>
      </c>
      <c r="C831" s="632">
        <v>131</v>
      </c>
    </row>
    <row r="832" spans="1:3" x14ac:dyDescent="0.25">
      <c r="A832" s="631">
        <v>3333351</v>
      </c>
      <c r="B832" s="632" t="s">
        <v>959</v>
      </c>
      <c r="C832" s="632">
        <v>125</v>
      </c>
    </row>
    <row r="833" spans="1:3" x14ac:dyDescent="0.25">
      <c r="A833" s="631">
        <v>3333352</v>
      </c>
      <c r="B833" s="632" t="s">
        <v>960</v>
      </c>
      <c r="C833" s="632">
        <v>125</v>
      </c>
    </row>
    <row r="834" spans="1:3" x14ac:dyDescent="0.25">
      <c r="A834" s="631">
        <v>3333353</v>
      </c>
      <c r="B834" s="632" t="s">
        <v>961</v>
      </c>
      <c r="C834" s="632">
        <v>125</v>
      </c>
    </row>
    <row r="835" spans="1:3" x14ac:dyDescent="0.25">
      <c r="A835" s="631">
        <v>3333354</v>
      </c>
      <c r="B835" s="632" t="s">
        <v>962</v>
      </c>
      <c r="C835" s="632">
        <v>125</v>
      </c>
    </row>
    <row r="836" spans="1:3" x14ac:dyDescent="0.25">
      <c r="A836" s="631">
        <v>3333355</v>
      </c>
      <c r="B836" s="632" t="s">
        <v>963</v>
      </c>
      <c r="C836" s="632">
        <v>125</v>
      </c>
    </row>
    <row r="837" spans="1:3" x14ac:dyDescent="0.25">
      <c r="A837" s="631">
        <v>3333356</v>
      </c>
      <c r="B837" s="632" t="s">
        <v>964</v>
      </c>
      <c r="C837" s="632">
        <v>125</v>
      </c>
    </row>
    <row r="838" spans="1:3" x14ac:dyDescent="0.25">
      <c r="A838" s="631">
        <v>3342408</v>
      </c>
      <c r="B838" s="632" t="s">
        <v>965</v>
      </c>
      <c r="C838" s="632">
        <v>2279</v>
      </c>
    </row>
    <row r="839" spans="1:3" x14ac:dyDescent="0.25">
      <c r="A839" s="631">
        <v>3342410</v>
      </c>
      <c r="B839" s="632" t="s">
        <v>966</v>
      </c>
      <c r="C839" s="632">
        <v>4457</v>
      </c>
    </row>
    <row r="840" spans="1:3" x14ac:dyDescent="0.25">
      <c r="A840" s="631">
        <v>3342708</v>
      </c>
      <c r="B840" s="632" t="s">
        <v>967</v>
      </c>
      <c r="C840" s="632">
        <v>2565</v>
      </c>
    </row>
    <row r="841" spans="1:3" x14ac:dyDescent="0.25">
      <c r="A841" s="631">
        <v>3342710</v>
      </c>
      <c r="B841" s="632" t="s">
        <v>968</v>
      </c>
      <c r="C841" s="632">
        <v>4457</v>
      </c>
    </row>
    <row r="842" spans="1:3" x14ac:dyDescent="0.25">
      <c r="A842" s="631">
        <v>3343002</v>
      </c>
      <c r="B842" s="632" t="s">
        <v>969</v>
      </c>
      <c r="C842" s="632">
        <v>2804</v>
      </c>
    </row>
    <row r="843" spans="1:3" x14ac:dyDescent="0.25">
      <c r="A843" s="631">
        <v>3343004</v>
      </c>
      <c r="B843" s="632" t="s">
        <v>4186</v>
      </c>
      <c r="C843" s="632">
        <v>2565</v>
      </c>
    </row>
    <row r="844" spans="1:3" x14ac:dyDescent="0.25">
      <c r="A844" s="631">
        <v>3343008</v>
      </c>
      <c r="B844" s="632" t="s">
        <v>970</v>
      </c>
      <c r="C844" s="632">
        <v>2565</v>
      </c>
    </row>
    <row r="845" spans="1:3" x14ac:dyDescent="0.25">
      <c r="A845" s="631">
        <v>3343308</v>
      </c>
      <c r="B845" s="632" t="s">
        <v>971</v>
      </c>
      <c r="C845" s="632">
        <v>2565</v>
      </c>
    </row>
    <row r="846" spans="1:3" x14ac:dyDescent="0.25">
      <c r="A846" s="631">
        <v>3343602</v>
      </c>
      <c r="B846" s="632" t="s">
        <v>972</v>
      </c>
      <c r="C846" s="632">
        <v>2804</v>
      </c>
    </row>
    <row r="847" spans="1:3" x14ac:dyDescent="0.25">
      <c r="A847" s="631">
        <v>3343608</v>
      </c>
      <c r="B847" s="632" t="s">
        <v>973</v>
      </c>
      <c r="C847" s="632">
        <v>2565</v>
      </c>
    </row>
    <row r="848" spans="1:3" x14ac:dyDescent="0.25">
      <c r="A848" s="631">
        <v>3343902</v>
      </c>
      <c r="B848" s="632" t="s">
        <v>974</v>
      </c>
      <c r="C848" s="632">
        <v>2804</v>
      </c>
    </row>
    <row r="849" spans="1:3" x14ac:dyDescent="0.25">
      <c r="A849" s="631">
        <v>3343904</v>
      </c>
      <c r="B849" s="632" t="s">
        <v>975</v>
      </c>
      <c r="C849" s="632">
        <v>2565</v>
      </c>
    </row>
    <row r="850" spans="1:3" x14ac:dyDescent="0.25">
      <c r="A850" s="631">
        <v>3343908</v>
      </c>
      <c r="B850" s="632" t="s">
        <v>976</v>
      </c>
      <c r="C850" s="632">
        <v>2565</v>
      </c>
    </row>
    <row r="851" spans="1:3" x14ac:dyDescent="0.25">
      <c r="A851" s="631">
        <v>3344202</v>
      </c>
      <c r="B851" s="632" t="s">
        <v>977</v>
      </c>
      <c r="C851" s="632">
        <v>2804</v>
      </c>
    </row>
    <row r="852" spans="1:3" x14ac:dyDescent="0.25">
      <c r="A852" s="631">
        <v>3344204</v>
      </c>
      <c r="B852" s="632" t="s">
        <v>978</v>
      </c>
      <c r="C852" s="632">
        <v>2565</v>
      </c>
    </row>
    <row r="853" spans="1:3" x14ac:dyDescent="0.25">
      <c r="A853" s="631">
        <v>3344208</v>
      </c>
      <c r="B853" s="632" t="s">
        <v>979</v>
      </c>
      <c r="C853" s="632">
        <v>2565</v>
      </c>
    </row>
    <row r="854" spans="1:3" x14ac:dyDescent="0.25">
      <c r="A854" s="631">
        <v>3344502</v>
      </c>
      <c r="B854" s="632" t="s">
        <v>980</v>
      </c>
      <c r="C854" s="632">
        <v>2804</v>
      </c>
    </row>
    <row r="855" spans="1:3" x14ac:dyDescent="0.25">
      <c r="A855" s="631">
        <v>3344504</v>
      </c>
      <c r="B855" s="632" t="s">
        <v>981</v>
      </c>
      <c r="C855" s="632">
        <v>2565</v>
      </c>
    </row>
    <row r="856" spans="1:3" x14ac:dyDescent="0.25">
      <c r="A856" s="631">
        <v>3344508</v>
      </c>
      <c r="B856" s="632" t="s">
        <v>982</v>
      </c>
      <c r="C856" s="632">
        <v>2804</v>
      </c>
    </row>
    <row r="857" spans="1:3" x14ac:dyDescent="0.25">
      <c r="A857" s="631">
        <v>3345002</v>
      </c>
      <c r="B857" s="632" t="s">
        <v>983</v>
      </c>
      <c r="C857" s="632">
        <v>2804</v>
      </c>
    </row>
    <row r="858" spans="1:3" x14ac:dyDescent="0.25">
      <c r="A858" s="631">
        <v>3352408</v>
      </c>
      <c r="B858" s="632" t="s">
        <v>984</v>
      </c>
      <c r="C858" s="632">
        <v>1516</v>
      </c>
    </row>
    <row r="859" spans="1:3" x14ac:dyDescent="0.25">
      <c r="A859" s="631">
        <v>3352708</v>
      </c>
      <c r="B859" s="632" t="s">
        <v>985</v>
      </c>
      <c r="C859" s="632">
        <v>1516</v>
      </c>
    </row>
    <row r="860" spans="1:3" x14ac:dyDescent="0.25">
      <c r="A860" s="631">
        <v>3353008</v>
      </c>
      <c r="B860" s="632" t="s">
        <v>986</v>
      </c>
      <c r="C860" s="632">
        <v>1516</v>
      </c>
    </row>
    <row r="861" spans="1:3" x14ac:dyDescent="0.25">
      <c r="A861" s="631">
        <v>3353308</v>
      </c>
      <c r="B861" s="632" t="s">
        <v>987</v>
      </c>
      <c r="C861" s="632">
        <v>1516</v>
      </c>
    </row>
    <row r="862" spans="1:3" x14ac:dyDescent="0.25">
      <c r="A862" s="631">
        <v>3353602</v>
      </c>
      <c r="B862" s="632" t="s">
        <v>988</v>
      </c>
      <c r="C862" s="632">
        <v>1516</v>
      </c>
    </row>
    <row r="863" spans="1:3" x14ac:dyDescent="0.25">
      <c r="A863" s="631">
        <v>3353608</v>
      </c>
      <c r="B863" s="632" t="s">
        <v>989</v>
      </c>
      <c r="C863" s="632">
        <v>1516</v>
      </c>
    </row>
    <row r="864" spans="1:3" x14ac:dyDescent="0.25">
      <c r="A864" s="631">
        <v>3353902</v>
      </c>
      <c r="B864" s="632" t="s">
        <v>990</v>
      </c>
      <c r="C864" s="632">
        <v>1516</v>
      </c>
    </row>
    <row r="865" spans="1:3" x14ac:dyDescent="0.25">
      <c r="A865" s="631">
        <v>3353904</v>
      </c>
      <c r="B865" s="632" t="s">
        <v>991</v>
      </c>
      <c r="C865" s="632">
        <v>1516</v>
      </c>
    </row>
    <row r="866" spans="1:3" x14ac:dyDescent="0.25">
      <c r="A866" s="631">
        <v>3353908</v>
      </c>
      <c r="B866" s="632" t="s">
        <v>992</v>
      </c>
      <c r="C866" s="632">
        <v>1516</v>
      </c>
    </row>
    <row r="867" spans="1:3" x14ac:dyDescent="0.25">
      <c r="A867" s="631">
        <v>3354202</v>
      </c>
      <c r="B867" s="632" t="s">
        <v>993</v>
      </c>
      <c r="C867" s="632">
        <v>1516</v>
      </c>
    </row>
    <row r="868" spans="1:3" x14ac:dyDescent="0.25">
      <c r="A868" s="631">
        <v>3354204</v>
      </c>
      <c r="B868" s="632" t="s">
        <v>994</v>
      </c>
      <c r="C868" s="632">
        <v>1516</v>
      </c>
    </row>
    <row r="869" spans="1:3" x14ac:dyDescent="0.25">
      <c r="A869" s="631">
        <v>3354208</v>
      </c>
      <c r="B869" s="632" t="s">
        <v>995</v>
      </c>
      <c r="C869" s="632">
        <v>1516</v>
      </c>
    </row>
    <row r="870" spans="1:3" x14ac:dyDescent="0.25">
      <c r="A870" s="631">
        <v>3354502</v>
      </c>
      <c r="B870" s="632" t="s">
        <v>996</v>
      </c>
      <c r="C870" s="632">
        <v>1516</v>
      </c>
    </row>
    <row r="871" spans="1:3" x14ac:dyDescent="0.25">
      <c r="A871" s="631">
        <v>3354504</v>
      </c>
      <c r="B871" s="632" t="s">
        <v>997</v>
      </c>
      <c r="C871" s="632">
        <v>1516</v>
      </c>
    </row>
    <row r="872" spans="1:3" x14ac:dyDescent="0.25">
      <c r="A872" s="631">
        <v>3354508</v>
      </c>
      <c r="B872" s="632" t="s">
        <v>998</v>
      </c>
      <c r="C872" s="632">
        <v>1516</v>
      </c>
    </row>
    <row r="873" spans="1:3" x14ac:dyDescent="0.25">
      <c r="A873" s="631">
        <v>3362406</v>
      </c>
      <c r="B873" s="632" t="s">
        <v>4187</v>
      </c>
      <c r="C873" s="632">
        <v>832</v>
      </c>
    </row>
    <row r="874" spans="1:3" x14ac:dyDescent="0.25">
      <c r="A874" s="631">
        <v>3362416</v>
      </c>
      <c r="B874" s="632" t="s">
        <v>4188</v>
      </c>
      <c r="C874" s="632">
        <v>1447</v>
      </c>
    </row>
    <row r="875" spans="1:3" x14ac:dyDescent="0.25">
      <c r="A875" s="631">
        <v>3362706</v>
      </c>
      <c r="B875" s="632" t="s">
        <v>4189</v>
      </c>
      <c r="C875" s="632">
        <v>832</v>
      </c>
    </row>
    <row r="876" spans="1:3" x14ac:dyDescent="0.25">
      <c r="A876" s="631">
        <v>3362716</v>
      </c>
      <c r="B876" s="632" t="s">
        <v>4190</v>
      </c>
      <c r="C876" s="632">
        <v>1447</v>
      </c>
    </row>
    <row r="877" spans="1:3" x14ac:dyDescent="0.25">
      <c r="A877" s="631">
        <v>3363006</v>
      </c>
      <c r="B877" s="632" t="s">
        <v>4191</v>
      </c>
      <c r="C877" s="632">
        <v>832</v>
      </c>
    </row>
    <row r="878" spans="1:3" x14ac:dyDescent="0.25">
      <c r="A878" s="631">
        <v>3363016</v>
      </c>
      <c r="B878" s="632" t="s">
        <v>4192</v>
      </c>
      <c r="C878" s="632">
        <v>1447</v>
      </c>
    </row>
    <row r="879" spans="1:3" x14ac:dyDescent="0.25">
      <c r="A879" s="631">
        <v>3363306</v>
      </c>
      <c r="B879" s="632" t="s">
        <v>4193</v>
      </c>
      <c r="C879" s="632">
        <v>832</v>
      </c>
    </row>
    <row r="880" spans="1:3" x14ac:dyDescent="0.25">
      <c r="A880" s="631">
        <v>3363316</v>
      </c>
      <c r="B880" s="632" t="s">
        <v>4194</v>
      </c>
      <c r="C880" s="632">
        <v>1447</v>
      </c>
    </row>
    <row r="881" spans="1:3" x14ac:dyDescent="0.25">
      <c r="A881" s="631">
        <v>3403332</v>
      </c>
      <c r="B881" s="632" t="s">
        <v>999</v>
      </c>
      <c r="C881" s="632">
        <v>4019</v>
      </c>
    </row>
    <row r="882" spans="1:3" x14ac:dyDescent="0.25">
      <c r="A882" s="631">
        <v>3413335</v>
      </c>
      <c r="B882" s="632" t="s">
        <v>1000</v>
      </c>
      <c r="C882" s="632">
        <v>9705</v>
      </c>
    </row>
    <row r="883" spans="1:3" x14ac:dyDescent="0.25">
      <c r="A883" s="631">
        <v>3413635</v>
      </c>
      <c r="B883" s="632" t="s">
        <v>1001</v>
      </c>
      <c r="C883" s="632">
        <v>9705</v>
      </c>
    </row>
    <row r="884" spans="1:3" x14ac:dyDescent="0.25">
      <c r="A884" s="631">
        <v>3413935</v>
      </c>
      <c r="B884" s="632" t="s">
        <v>1002</v>
      </c>
      <c r="C884" s="632">
        <v>9705</v>
      </c>
    </row>
    <row r="885" spans="1:3" x14ac:dyDescent="0.25">
      <c r="A885" s="631">
        <v>3414235</v>
      </c>
      <c r="B885" s="632" t="s">
        <v>1003</v>
      </c>
      <c r="C885" s="632">
        <v>9705</v>
      </c>
    </row>
    <row r="886" spans="1:3" x14ac:dyDescent="0.25">
      <c r="A886" s="631">
        <v>3414535</v>
      </c>
      <c r="B886" s="632" t="s">
        <v>1004</v>
      </c>
      <c r="C886" s="632">
        <v>9705</v>
      </c>
    </row>
    <row r="887" spans="1:3" x14ac:dyDescent="0.25">
      <c r="A887" s="631">
        <v>3423322</v>
      </c>
      <c r="B887" s="632" t="s">
        <v>1005</v>
      </c>
      <c r="C887" s="632">
        <v>9654</v>
      </c>
    </row>
    <row r="888" spans="1:3" x14ac:dyDescent="0.25">
      <c r="A888" s="631">
        <v>3423323</v>
      </c>
      <c r="B888" s="632" t="s">
        <v>1006</v>
      </c>
      <c r="C888" s="632">
        <v>9654</v>
      </c>
    </row>
    <row r="889" spans="1:3" x14ac:dyDescent="0.25">
      <c r="A889" s="631">
        <v>3423324</v>
      </c>
      <c r="B889" s="632" t="s">
        <v>1007</v>
      </c>
      <c r="C889" s="632">
        <v>9654</v>
      </c>
    </row>
    <row r="890" spans="1:3" x14ac:dyDescent="0.25">
      <c r="A890" s="631">
        <v>3423325</v>
      </c>
      <c r="B890" s="632" t="s">
        <v>1008</v>
      </c>
      <c r="C890" s="632">
        <v>9654</v>
      </c>
    </row>
    <row r="891" spans="1:3" x14ac:dyDescent="0.25">
      <c r="A891" s="631">
        <v>3423326</v>
      </c>
      <c r="B891" s="632" t="s">
        <v>1009</v>
      </c>
      <c r="C891" s="632">
        <v>9654</v>
      </c>
    </row>
    <row r="892" spans="1:3" x14ac:dyDescent="0.25">
      <c r="A892" s="631">
        <v>3423327</v>
      </c>
      <c r="B892" s="632" t="s">
        <v>1010</v>
      </c>
      <c r="C892" s="632">
        <v>9654</v>
      </c>
    </row>
    <row r="893" spans="1:3" x14ac:dyDescent="0.25">
      <c r="A893" s="631">
        <v>3423328</v>
      </c>
      <c r="B893" s="632" t="s">
        <v>1011</v>
      </c>
      <c r="C893" s="632">
        <v>9654</v>
      </c>
    </row>
    <row r="894" spans="1:3" x14ac:dyDescent="0.25">
      <c r="A894" s="631">
        <v>3423329</v>
      </c>
      <c r="B894" s="632" t="s">
        <v>1012</v>
      </c>
      <c r="C894" s="632">
        <v>9654</v>
      </c>
    </row>
    <row r="895" spans="1:3" x14ac:dyDescent="0.25">
      <c r="A895" s="631">
        <v>3423330</v>
      </c>
      <c r="B895" s="632" t="s">
        <v>1013</v>
      </c>
      <c r="C895" s="632">
        <v>9654</v>
      </c>
    </row>
    <row r="896" spans="1:3" x14ac:dyDescent="0.25">
      <c r="A896" s="631">
        <v>3423331</v>
      </c>
      <c r="B896" s="632" t="s">
        <v>1014</v>
      </c>
      <c r="C896" s="632">
        <v>9654</v>
      </c>
    </row>
    <row r="897" spans="1:3" x14ac:dyDescent="0.25">
      <c r="A897" s="631">
        <v>3423332</v>
      </c>
      <c r="B897" s="632" t="s">
        <v>1015</v>
      </c>
      <c r="C897" s="632">
        <v>9654</v>
      </c>
    </row>
    <row r="898" spans="1:3" x14ac:dyDescent="0.25">
      <c r="A898" s="631">
        <v>3423333</v>
      </c>
      <c r="B898" s="632" t="s">
        <v>1016</v>
      </c>
      <c r="C898" s="632">
        <v>9654</v>
      </c>
    </row>
    <row r="899" spans="1:3" x14ac:dyDescent="0.25">
      <c r="A899" s="631">
        <v>3423334</v>
      </c>
      <c r="B899" s="632" t="s">
        <v>1017</v>
      </c>
      <c r="C899" s="632">
        <v>9654</v>
      </c>
    </row>
    <row r="900" spans="1:3" x14ac:dyDescent="0.25">
      <c r="A900" s="631">
        <v>3423335</v>
      </c>
      <c r="B900" s="632" t="s">
        <v>1018</v>
      </c>
      <c r="C900" s="632">
        <v>9654</v>
      </c>
    </row>
    <row r="901" spans="1:3" x14ac:dyDescent="0.25">
      <c r="A901" s="631">
        <v>3423622</v>
      </c>
      <c r="B901" s="632" t="s">
        <v>1019</v>
      </c>
      <c r="C901" s="632">
        <v>9654</v>
      </c>
    </row>
    <row r="902" spans="1:3" x14ac:dyDescent="0.25">
      <c r="A902" s="631">
        <v>3423623</v>
      </c>
      <c r="B902" s="632" t="s">
        <v>1020</v>
      </c>
      <c r="C902" s="632">
        <v>9654</v>
      </c>
    </row>
    <row r="903" spans="1:3" x14ac:dyDescent="0.25">
      <c r="A903" s="631">
        <v>3423624</v>
      </c>
      <c r="B903" s="632" t="s">
        <v>1021</v>
      </c>
      <c r="C903" s="632">
        <v>9654</v>
      </c>
    </row>
    <row r="904" spans="1:3" x14ac:dyDescent="0.25">
      <c r="A904" s="631">
        <v>3423625</v>
      </c>
      <c r="B904" s="632" t="s">
        <v>1022</v>
      </c>
      <c r="C904" s="632">
        <v>9654</v>
      </c>
    </row>
    <row r="905" spans="1:3" x14ac:dyDescent="0.25">
      <c r="A905" s="631">
        <v>3423626</v>
      </c>
      <c r="B905" s="632" t="s">
        <v>1023</v>
      </c>
      <c r="C905" s="632">
        <v>9654</v>
      </c>
    </row>
    <row r="906" spans="1:3" x14ac:dyDescent="0.25">
      <c r="A906" s="631">
        <v>3423627</v>
      </c>
      <c r="B906" s="632" t="s">
        <v>1024</v>
      </c>
      <c r="C906" s="632">
        <v>9654</v>
      </c>
    </row>
    <row r="907" spans="1:3" x14ac:dyDescent="0.25">
      <c r="A907" s="631">
        <v>3423628</v>
      </c>
      <c r="B907" s="632" t="s">
        <v>1025</v>
      </c>
      <c r="C907" s="632">
        <v>9654</v>
      </c>
    </row>
    <row r="908" spans="1:3" x14ac:dyDescent="0.25">
      <c r="A908" s="631">
        <v>3423629</v>
      </c>
      <c r="B908" s="632" t="s">
        <v>1026</v>
      </c>
      <c r="C908" s="632">
        <v>9654</v>
      </c>
    </row>
    <row r="909" spans="1:3" x14ac:dyDescent="0.25">
      <c r="A909" s="631">
        <v>3423630</v>
      </c>
      <c r="B909" s="632" t="s">
        <v>1027</v>
      </c>
      <c r="C909" s="632">
        <v>9654</v>
      </c>
    </row>
    <row r="910" spans="1:3" x14ac:dyDescent="0.25">
      <c r="A910" s="631">
        <v>3423631</v>
      </c>
      <c r="B910" s="632" t="s">
        <v>1028</v>
      </c>
      <c r="C910" s="632">
        <v>9654</v>
      </c>
    </row>
    <row r="911" spans="1:3" x14ac:dyDescent="0.25">
      <c r="A911" s="631">
        <v>3423632</v>
      </c>
      <c r="B911" s="632" t="s">
        <v>1029</v>
      </c>
      <c r="C911" s="632">
        <v>9654</v>
      </c>
    </row>
    <row r="912" spans="1:3" x14ac:dyDescent="0.25">
      <c r="A912" s="631">
        <v>3423633</v>
      </c>
      <c r="B912" s="632" t="s">
        <v>1030</v>
      </c>
      <c r="C912" s="632">
        <v>9654</v>
      </c>
    </row>
    <row r="913" spans="1:3" x14ac:dyDescent="0.25">
      <c r="A913" s="631">
        <v>3423634</v>
      </c>
      <c r="B913" s="632" t="s">
        <v>1031</v>
      </c>
      <c r="C913" s="632">
        <v>9654</v>
      </c>
    </row>
    <row r="914" spans="1:3" x14ac:dyDescent="0.25">
      <c r="A914" s="631">
        <v>3423635</v>
      </c>
      <c r="B914" s="632" t="s">
        <v>1032</v>
      </c>
      <c r="C914" s="632">
        <v>9654</v>
      </c>
    </row>
    <row r="915" spans="1:3" x14ac:dyDescent="0.25">
      <c r="A915" s="631">
        <v>3423922</v>
      </c>
      <c r="B915" s="632" t="s">
        <v>1033</v>
      </c>
      <c r="C915" s="632">
        <v>9654</v>
      </c>
    </row>
    <row r="916" spans="1:3" x14ac:dyDescent="0.25">
      <c r="A916" s="631">
        <v>3423923</v>
      </c>
      <c r="B916" s="632" t="s">
        <v>1034</v>
      </c>
      <c r="C916" s="632">
        <v>9654</v>
      </c>
    </row>
    <row r="917" spans="1:3" x14ac:dyDescent="0.25">
      <c r="A917" s="631">
        <v>3423924</v>
      </c>
      <c r="B917" s="632" t="s">
        <v>1035</v>
      </c>
      <c r="C917" s="632">
        <v>9654</v>
      </c>
    </row>
    <row r="918" spans="1:3" x14ac:dyDescent="0.25">
      <c r="A918" s="631">
        <v>3423925</v>
      </c>
      <c r="B918" s="632" t="s">
        <v>1036</v>
      </c>
      <c r="C918" s="632">
        <v>9654</v>
      </c>
    </row>
    <row r="919" spans="1:3" x14ac:dyDescent="0.25">
      <c r="A919" s="631">
        <v>3423926</v>
      </c>
      <c r="B919" s="632" t="s">
        <v>1037</v>
      </c>
      <c r="C919" s="632">
        <v>9654</v>
      </c>
    </row>
    <row r="920" spans="1:3" x14ac:dyDescent="0.25">
      <c r="A920" s="631">
        <v>3423927</v>
      </c>
      <c r="B920" s="632" t="s">
        <v>1038</v>
      </c>
      <c r="C920" s="632">
        <v>9654</v>
      </c>
    </row>
    <row r="921" spans="1:3" x14ac:dyDescent="0.25">
      <c r="A921" s="631">
        <v>3423928</v>
      </c>
      <c r="B921" s="632" t="s">
        <v>1039</v>
      </c>
      <c r="C921" s="632">
        <v>9654</v>
      </c>
    </row>
    <row r="922" spans="1:3" x14ac:dyDescent="0.25">
      <c r="A922" s="631">
        <v>3423929</v>
      </c>
      <c r="B922" s="632" t="s">
        <v>1040</v>
      </c>
      <c r="C922" s="632">
        <v>9654</v>
      </c>
    </row>
    <row r="923" spans="1:3" x14ac:dyDescent="0.25">
      <c r="A923" s="631">
        <v>3423930</v>
      </c>
      <c r="B923" s="632" t="s">
        <v>1041</v>
      </c>
      <c r="C923" s="632">
        <v>9654</v>
      </c>
    </row>
    <row r="924" spans="1:3" x14ac:dyDescent="0.25">
      <c r="A924" s="631">
        <v>3423931</v>
      </c>
      <c r="B924" s="632" t="s">
        <v>1042</v>
      </c>
      <c r="C924" s="632">
        <v>9654</v>
      </c>
    </row>
    <row r="925" spans="1:3" x14ac:dyDescent="0.25">
      <c r="A925" s="631">
        <v>3423932</v>
      </c>
      <c r="B925" s="632" t="s">
        <v>1043</v>
      </c>
      <c r="C925" s="632">
        <v>9654</v>
      </c>
    </row>
    <row r="926" spans="1:3" x14ac:dyDescent="0.25">
      <c r="A926" s="631">
        <v>3423933</v>
      </c>
      <c r="B926" s="632" t="s">
        <v>1044</v>
      </c>
      <c r="C926" s="632">
        <v>9654</v>
      </c>
    </row>
    <row r="927" spans="1:3" x14ac:dyDescent="0.25">
      <c r="A927" s="631">
        <v>3423934</v>
      </c>
      <c r="B927" s="632" t="s">
        <v>1045</v>
      </c>
      <c r="C927" s="632">
        <v>9654</v>
      </c>
    </row>
    <row r="928" spans="1:3" x14ac:dyDescent="0.25">
      <c r="A928" s="631">
        <v>3423935</v>
      </c>
      <c r="B928" s="632" t="s">
        <v>1046</v>
      </c>
      <c r="C928" s="632">
        <v>9654</v>
      </c>
    </row>
    <row r="929" spans="1:3" x14ac:dyDescent="0.25">
      <c r="A929" s="631">
        <v>3424222</v>
      </c>
      <c r="B929" s="632" t="s">
        <v>1047</v>
      </c>
      <c r="C929" s="632">
        <v>9654</v>
      </c>
    </row>
    <row r="930" spans="1:3" x14ac:dyDescent="0.25">
      <c r="A930" s="631">
        <v>3424223</v>
      </c>
      <c r="B930" s="632" t="s">
        <v>1048</v>
      </c>
      <c r="C930" s="632">
        <v>9654</v>
      </c>
    </row>
    <row r="931" spans="1:3" x14ac:dyDescent="0.25">
      <c r="A931" s="631">
        <v>3424224</v>
      </c>
      <c r="B931" s="632" t="s">
        <v>1049</v>
      </c>
      <c r="C931" s="632">
        <v>9654</v>
      </c>
    </row>
    <row r="932" spans="1:3" x14ac:dyDescent="0.25">
      <c r="A932" s="631">
        <v>3424225</v>
      </c>
      <c r="B932" s="632" t="s">
        <v>1050</v>
      </c>
      <c r="C932" s="632">
        <v>9654</v>
      </c>
    </row>
    <row r="933" spans="1:3" x14ac:dyDescent="0.25">
      <c r="A933" s="631">
        <v>3424226</v>
      </c>
      <c r="B933" s="632" t="s">
        <v>1051</v>
      </c>
      <c r="C933" s="632">
        <v>9654</v>
      </c>
    </row>
    <row r="934" spans="1:3" x14ac:dyDescent="0.25">
      <c r="A934" s="631">
        <v>3424227</v>
      </c>
      <c r="B934" s="632" t="s">
        <v>1052</v>
      </c>
      <c r="C934" s="632">
        <v>9654</v>
      </c>
    </row>
    <row r="935" spans="1:3" x14ac:dyDescent="0.25">
      <c r="A935" s="631">
        <v>3424228</v>
      </c>
      <c r="B935" s="632" t="s">
        <v>1053</v>
      </c>
      <c r="C935" s="632">
        <v>9654</v>
      </c>
    </row>
    <row r="936" spans="1:3" x14ac:dyDescent="0.25">
      <c r="A936" s="631">
        <v>3424229</v>
      </c>
      <c r="B936" s="632" t="s">
        <v>1054</v>
      </c>
      <c r="C936" s="632">
        <v>9654</v>
      </c>
    </row>
    <row r="937" spans="1:3" x14ac:dyDescent="0.25">
      <c r="A937" s="631">
        <v>3424230</v>
      </c>
      <c r="B937" s="632" t="s">
        <v>1055</v>
      </c>
      <c r="C937" s="632">
        <v>9654</v>
      </c>
    </row>
    <row r="938" spans="1:3" x14ac:dyDescent="0.25">
      <c r="A938" s="631">
        <v>3424231</v>
      </c>
      <c r="B938" s="632" t="s">
        <v>1056</v>
      </c>
      <c r="C938" s="632">
        <v>9654</v>
      </c>
    </row>
    <row r="939" spans="1:3" x14ac:dyDescent="0.25">
      <c r="A939" s="631">
        <v>3424232</v>
      </c>
      <c r="B939" s="632" t="s">
        <v>1057</v>
      </c>
      <c r="C939" s="632">
        <v>9654</v>
      </c>
    </row>
    <row r="940" spans="1:3" x14ac:dyDescent="0.25">
      <c r="A940" s="631">
        <v>3424233</v>
      </c>
      <c r="B940" s="632" t="s">
        <v>1058</v>
      </c>
      <c r="C940" s="632">
        <v>9654</v>
      </c>
    </row>
    <row r="941" spans="1:3" x14ac:dyDescent="0.25">
      <c r="A941" s="631">
        <v>3424234</v>
      </c>
      <c r="B941" s="632" t="s">
        <v>1059</v>
      </c>
      <c r="C941" s="632">
        <v>9654</v>
      </c>
    </row>
    <row r="942" spans="1:3" x14ac:dyDescent="0.25">
      <c r="A942" s="631">
        <v>3424235</v>
      </c>
      <c r="B942" s="632" t="s">
        <v>1060</v>
      </c>
      <c r="C942" s="632">
        <v>9654</v>
      </c>
    </row>
    <row r="943" spans="1:3" x14ac:dyDescent="0.25">
      <c r="A943" s="631">
        <v>3424522</v>
      </c>
      <c r="B943" s="632" t="s">
        <v>1061</v>
      </c>
      <c r="C943" s="632">
        <v>9654</v>
      </c>
    </row>
    <row r="944" spans="1:3" x14ac:dyDescent="0.25">
      <c r="A944" s="631">
        <v>3424523</v>
      </c>
      <c r="B944" s="632" t="s">
        <v>1062</v>
      </c>
      <c r="C944" s="632">
        <v>9654</v>
      </c>
    </row>
    <row r="945" spans="1:3" x14ac:dyDescent="0.25">
      <c r="A945" s="631">
        <v>3424524</v>
      </c>
      <c r="B945" s="632" t="s">
        <v>1063</v>
      </c>
      <c r="C945" s="632">
        <v>9654</v>
      </c>
    </row>
    <row r="946" spans="1:3" x14ac:dyDescent="0.25">
      <c r="A946" s="631">
        <v>3424525</v>
      </c>
      <c r="B946" s="632" t="s">
        <v>1064</v>
      </c>
      <c r="C946" s="632">
        <v>9654</v>
      </c>
    </row>
    <row r="947" spans="1:3" x14ac:dyDescent="0.25">
      <c r="A947" s="631">
        <v>3424526</v>
      </c>
      <c r="B947" s="632" t="s">
        <v>1065</v>
      </c>
      <c r="C947" s="632">
        <v>9654</v>
      </c>
    </row>
    <row r="948" spans="1:3" x14ac:dyDescent="0.25">
      <c r="A948" s="631">
        <v>3424527</v>
      </c>
      <c r="B948" s="632" t="s">
        <v>1066</v>
      </c>
      <c r="C948" s="632">
        <v>9654</v>
      </c>
    </row>
    <row r="949" spans="1:3" x14ac:dyDescent="0.25">
      <c r="A949" s="631">
        <v>3424528</v>
      </c>
      <c r="B949" s="632" t="s">
        <v>1067</v>
      </c>
      <c r="C949" s="632">
        <v>9654</v>
      </c>
    </row>
    <row r="950" spans="1:3" x14ac:dyDescent="0.25">
      <c r="A950" s="631">
        <v>3424529</v>
      </c>
      <c r="B950" s="632" t="s">
        <v>1068</v>
      </c>
      <c r="C950" s="632">
        <v>9654</v>
      </c>
    </row>
    <row r="951" spans="1:3" x14ac:dyDescent="0.25">
      <c r="A951" s="631">
        <v>3424530</v>
      </c>
      <c r="B951" s="632" t="s">
        <v>1069</v>
      </c>
      <c r="C951" s="632">
        <v>9654</v>
      </c>
    </row>
    <row r="952" spans="1:3" x14ac:dyDescent="0.25">
      <c r="A952" s="631">
        <v>3424531</v>
      </c>
      <c r="B952" s="632" t="s">
        <v>1070</v>
      </c>
      <c r="C952" s="632">
        <v>9654</v>
      </c>
    </row>
    <row r="953" spans="1:3" x14ac:dyDescent="0.25">
      <c r="A953" s="631">
        <v>3424532</v>
      </c>
      <c r="B953" s="632" t="s">
        <v>1071</v>
      </c>
      <c r="C953" s="632">
        <v>9654</v>
      </c>
    </row>
    <row r="954" spans="1:3" x14ac:dyDescent="0.25">
      <c r="A954" s="631">
        <v>3424533</v>
      </c>
      <c r="B954" s="632" t="s">
        <v>1072</v>
      </c>
      <c r="C954" s="632">
        <v>9654</v>
      </c>
    </row>
    <row r="955" spans="1:3" x14ac:dyDescent="0.25">
      <c r="A955" s="631">
        <v>3424534</v>
      </c>
      <c r="B955" s="632" t="s">
        <v>1073</v>
      </c>
      <c r="C955" s="632">
        <v>9654</v>
      </c>
    </row>
    <row r="956" spans="1:3" x14ac:dyDescent="0.25">
      <c r="A956" s="631">
        <v>3424535</v>
      </c>
      <c r="B956" s="632" t="s">
        <v>1074</v>
      </c>
      <c r="C956" s="632">
        <v>9654</v>
      </c>
    </row>
    <row r="957" spans="1:3" x14ac:dyDescent="0.25">
      <c r="A957" s="631">
        <v>3433335</v>
      </c>
      <c r="B957" s="632" t="s">
        <v>4195</v>
      </c>
      <c r="C957" s="632">
        <v>0</v>
      </c>
    </row>
    <row r="958" spans="1:3" x14ac:dyDescent="0.25">
      <c r="A958" s="631">
        <v>3433635</v>
      </c>
      <c r="B958" s="632" t="s">
        <v>4196</v>
      </c>
      <c r="C958" s="632">
        <v>0</v>
      </c>
    </row>
    <row r="959" spans="1:3" x14ac:dyDescent="0.25">
      <c r="A959" s="631">
        <v>3433935</v>
      </c>
      <c r="B959" s="632" t="s">
        <v>4197</v>
      </c>
      <c r="C959" s="632">
        <v>0</v>
      </c>
    </row>
    <row r="960" spans="1:3" x14ac:dyDescent="0.25">
      <c r="A960" s="631">
        <v>3434235</v>
      </c>
      <c r="B960" s="632" t="s">
        <v>4198</v>
      </c>
      <c r="C960" s="632">
        <v>0</v>
      </c>
    </row>
    <row r="961" spans="1:3" x14ac:dyDescent="0.25">
      <c r="A961" s="631">
        <v>3434535</v>
      </c>
      <c r="B961" s="632" t="s">
        <v>4199</v>
      </c>
      <c r="C961" s="632">
        <v>0</v>
      </c>
    </row>
    <row r="962" spans="1:3" x14ac:dyDescent="0.25">
      <c r="A962" s="631">
        <v>3440001</v>
      </c>
      <c r="B962" s="632" t="s">
        <v>1075</v>
      </c>
      <c r="C962" s="632">
        <v>83</v>
      </c>
    </row>
    <row r="963" spans="1:3" x14ac:dyDescent="0.25">
      <c r="A963" s="631">
        <v>3440002</v>
      </c>
      <c r="B963" s="632" t="s">
        <v>1076</v>
      </c>
      <c r="C963" s="632">
        <v>74</v>
      </c>
    </row>
    <row r="964" spans="1:3" x14ac:dyDescent="0.25">
      <c r="A964" s="631">
        <v>3440003</v>
      </c>
      <c r="B964" s="632" t="s">
        <v>1077</v>
      </c>
      <c r="C964" s="632">
        <v>61</v>
      </c>
    </row>
    <row r="965" spans="1:3" x14ac:dyDescent="0.25">
      <c r="A965" s="631" t="s">
        <v>1078</v>
      </c>
      <c r="B965" s="632" t="s">
        <v>1079</v>
      </c>
      <c r="C965" s="632">
        <v>116</v>
      </c>
    </row>
    <row r="966" spans="1:3" x14ac:dyDescent="0.25">
      <c r="A966" s="631">
        <v>3440004</v>
      </c>
      <c r="B966" s="632" t="s">
        <v>1080</v>
      </c>
      <c r="C966" s="632">
        <v>74</v>
      </c>
    </row>
    <row r="967" spans="1:3" x14ac:dyDescent="0.25">
      <c r="A967" s="631" t="s">
        <v>1081</v>
      </c>
      <c r="B967" s="632" t="s">
        <v>1082</v>
      </c>
      <c r="C967" s="632">
        <v>116</v>
      </c>
    </row>
    <row r="968" spans="1:3" x14ac:dyDescent="0.25">
      <c r="A968" s="631">
        <v>3443322</v>
      </c>
      <c r="B968" s="632" t="s">
        <v>4200</v>
      </c>
      <c r="C968" s="632">
        <v>0</v>
      </c>
    </row>
    <row r="969" spans="1:3" x14ac:dyDescent="0.25">
      <c r="A969" s="631">
        <v>3443323</v>
      </c>
      <c r="B969" s="632" t="s">
        <v>4201</v>
      </c>
      <c r="C969" s="632">
        <v>0</v>
      </c>
    </row>
    <row r="970" spans="1:3" x14ac:dyDescent="0.25">
      <c r="A970" s="631">
        <v>3443324</v>
      </c>
      <c r="B970" s="632" t="s">
        <v>4202</v>
      </c>
      <c r="C970" s="632">
        <v>0</v>
      </c>
    </row>
    <row r="971" spans="1:3" x14ac:dyDescent="0.25">
      <c r="A971" s="631">
        <v>3443325</v>
      </c>
      <c r="B971" s="632" t="s">
        <v>4203</v>
      </c>
      <c r="C971" s="632">
        <v>0</v>
      </c>
    </row>
    <row r="972" spans="1:3" x14ac:dyDescent="0.25">
      <c r="A972" s="631">
        <v>3443326</v>
      </c>
      <c r="B972" s="632" t="s">
        <v>4204</v>
      </c>
      <c r="C972" s="632">
        <v>0</v>
      </c>
    </row>
    <row r="973" spans="1:3" x14ac:dyDescent="0.25">
      <c r="A973" s="631">
        <v>3443327</v>
      </c>
      <c r="B973" s="632" t="s">
        <v>4205</v>
      </c>
      <c r="C973" s="632">
        <v>0</v>
      </c>
    </row>
    <row r="974" spans="1:3" x14ac:dyDescent="0.25">
      <c r="A974" s="631">
        <v>3443328</v>
      </c>
      <c r="B974" s="632" t="s">
        <v>4206</v>
      </c>
      <c r="C974" s="632">
        <v>0</v>
      </c>
    </row>
    <row r="975" spans="1:3" x14ac:dyDescent="0.25">
      <c r="A975" s="631">
        <v>3443329</v>
      </c>
      <c r="B975" s="632" t="s">
        <v>4207</v>
      </c>
      <c r="C975" s="632">
        <v>0</v>
      </c>
    </row>
    <row r="976" spans="1:3" x14ac:dyDescent="0.25">
      <c r="A976" s="631">
        <v>3443330</v>
      </c>
      <c r="B976" s="632" t="s">
        <v>4208</v>
      </c>
      <c r="C976" s="632">
        <v>0</v>
      </c>
    </row>
    <row r="977" spans="1:3" x14ac:dyDescent="0.25">
      <c r="A977" s="631">
        <v>3443331</v>
      </c>
      <c r="B977" s="632" t="s">
        <v>4209</v>
      </c>
      <c r="C977" s="632">
        <v>0</v>
      </c>
    </row>
    <row r="978" spans="1:3" x14ac:dyDescent="0.25">
      <c r="A978" s="631">
        <v>3443332</v>
      </c>
      <c r="B978" s="632" t="s">
        <v>4210</v>
      </c>
      <c r="C978" s="632">
        <v>0</v>
      </c>
    </row>
    <row r="979" spans="1:3" x14ac:dyDescent="0.25">
      <c r="A979" s="631">
        <v>3443333</v>
      </c>
      <c r="B979" s="632" t="s">
        <v>4211</v>
      </c>
      <c r="C979" s="632">
        <v>0</v>
      </c>
    </row>
    <row r="980" spans="1:3" x14ac:dyDescent="0.25">
      <c r="A980" s="631">
        <v>3443334</v>
      </c>
      <c r="B980" s="632" t="s">
        <v>4212</v>
      </c>
      <c r="C980" s="632">
        <v>0</v>
      </c>
    </row>
    <row r="981" spans="1:3" x14ac:dyDescent="0.25">
      <c r="A981" s="631">
        <v>3443335</v>
      </c>
      <c r="B981" s="632" t="s">
        <v>4213</v>
      </c>
      <c r="C981" s="632">
        <v>0</v>
      </c>
    </row>
    <row r="982" spans="1:3" x14ac:dyDescent="0.25">
      <c r="A982" s="631">
        <v>3443622</v>
      </c>
      <c r="B982" s="632" t="s">
        <v>4214</v>
      </c>
      <c r="C982" s="632">
        <v>0</v>
      </c>
    </row>
    <row r="983" spans="1:3" x14ac:dyDescent="0.25">
      <c r="A983" s="631">
        <v>3443623</v>
      </c>
      <c r="B983" s="632" t="s">
        <v>4215</v>
      </c>
      <c r="C983" s="632">
        <v>0</v>
      </c>
    </row>
    <row r="984" spans="1:3" x14ac:dyDescent="0.25">
      <c r="A984" s="631">
        <v>3443624</v>
      </c>
      <c r="B984" s="632" t="s">
        <v>4216</v>
      </c>
      <c r="C984" s="632">
        <v>0</v>
      </c>
    </row>
    <row r="985" spans="1:3" x14ac:dyDescent="0.25">
      <c r="A985" s="631">
        <v>3443625</v>
      </c>
      <c r="B985" s="632" t="s">
        <v>4217</v>
      </c>
      <c r="C985" s="632">
        <v>0</v>
      </c>
    </row>
    <row r="986" spans="1:3" x14ac:dyDescent="0.25">
      <c r="A986" s="631">
        <v>3443626</v>
      </c>
      <c r="B986" s="632" t="s">
        <v>4218</v>
      </c>
      <c r="C986" s="632">
        <v>0</v>
      </c>
    </row>
    <row r="987" spans="1:3" x14ac:dyDescent="0.25">
      <c r="A987" s="631">
        <v>3443627</v>
      </c>
      <c r="B987" s="632" t="s">
        <v>4219</v>
      </c>
      <c r="C987" s="632">
        <v>0</v>
      </c>
    </row>
    <row r="988" spans="1:3" x14ac:dyDescent="0.25">
      <c r="A988" s="631">
        <v>3443628</v>
      </c>
      <c r="B988" s="632" t="s">
        <v>4220</v>
      </c>
      <c r="C988" s="632">
        <v>0</v>
      </c>
    </row>
    <row r="989" spans="1:3" x14ac:dyDescent="0.25">
      <c r="A989" s="631">
        <v>3443629</v>
      </c>
      <c r="B989" s="632" t="s">
        <v>4221</v>
      </c>
      <c r="C989" s="632">
        <v>0</v>
      </c>
    </row>
    <row r="990" spans="1:3" x14ac:dyDescent="0.25">
      <c r="A990" s="631">
        <v>3443630</v>
      </c>
      <c r="B990" s="632" t="s">
        <v>4222</v>
      </c>
      <c r="C990" s="632">
        <v>0</v>
      </c>
    </row>
    <row r="991" spans="1:3" x14ac:dyDescent="0.25">
      <c r="A991" s="631">
        <v>3443631</v>
      </c>
      <c r="B991" s="632" t="s">
        <v>4223</v>
      </c>
      <c r="C991" s="632">
        <v>0</v>
      </c>
    </row>
    <row r="992" spans="1:3" x14ac:dyDescent="0.25">
      <c r="A992" s="631">
        <v>3443632</v>
      </c>
      <c r="B992" s="632" t="s">
        <v>4224</v>
      </c>
      <c r="C992" s="632">
        <v>0</v>
      </c>
    </row>
    <row r="993" spans="1:3" x14ac:dyDescent="0.25">
      <c r="A993" s="631">
        <v>3443633</v>
      </c>
      <c r="B993" s="632" t="s">
        <v>4225</v>
      </c>
      <c r="C993" s="632">
        <v>0</v>
      </c>
    </row>
    <row r="994" spans="1:3" x14ac:dyDescent="0.25">
      <c r="A994" s="631">
        <v>3443634</v>
      </c>
      <c r="B994" s="632" t="s">
        <v>4226</v>
      </c>
      <c r="C994" s="632">
        <v>0</v>
      </c>
    </row>
    <row r="995" spans="1:3" x14ac:dyDescent="0.25">
      <c r="A995" s="631">
        <v>3443635</v>
      </c>
      <c r="B995" s="632" t="s">
        <v>4227</v>
      </c>
      <c r="C995" s="632">
        <v>0</v>
      </c>
    </row>
    <row r="996" spans="1:3" x14ac:dyDescent="0.25">
      <c r="A996" s="631">
        <v>3443922</v>
      </c>
      <c r="B996" s="632" t="s">
        <v>4228</v>
      </c>
      <c r="C996" s="632">
        <v>0</v>
      </c>
    </row>
    <row r="997" spans="1:3" x14ac:dyDescent="0.25">
      <c r="A997" s="631">
        <v>3443923</v>
      </c>
      <c r="B997" s="632" t="s">
        <v>4229</v>
      </c>
      <c r="C997" s="632">
        <v>0</v>
      </c>
    </row>
    <row r="998" spans="1:3" x14ac:dyDescent="0.25">
      <c r="A998" s="631">
        <v>3443924</v>
      </c>
      <c r="B998" s="632" t="s">
        <v>4230</v>
      </c>
      <c r="C998" s="632">
        <v>0</v>
      </c>
    </row>
    <row r="999" spans="1:3" x14ac:dyDescent="0.25">
      <c r="A999" s="631">
        <v>3443925</v>
      </c>
      <c r="B999" s="632" t="s">
        <v>4231</v>
      </c>
      <c r="C999" s="632">
        <v>0</v>
      </c>
    </row>
    <row r="1000" spans="1:3" x14ac:dyDescent="0.25">
      <c r="A1000" s="631">
        <v>3443926</v>
      </c>
      <c r="B1000" s="632" t="s">
        <v>4232</v>
      </c>
      <c r="C1000" s="632">
        <v>0</v>
      </c>
    </row>
    <row r="1001" spans="1:3" x14ac:dyDescent="0.25">
      <c r="A1001" s="631">
        <v>3443927</v>
      </c>
      <c r="B1001" s="632" t="s">
        <v>4233</v>
      </c>
      <c r="C1001" s="632">
        <v>0</v>
      </c>
    </row>
    <row r="1002" spans="1:3" x14ac:dyDescent="0.25">
      <c r="A1002" s="631">
        <v>3443928</v>
      </c>
      <c r="B1002" s="632" t="s">
        <v>4234</v>
      </c>
      <c r="C1002" s="632">
        <v>0</v>
      </c>
    </row>
    <row r="1003" spans="1:3" x14ac:dyDescent="0.25">
      <c r="A1003" s="631">
        <v>3443929</v>
      </c>
      <c r="B1003" s="632" t="s">
        <v>4235</v>
      </c>
      <c r="C1003" s="632">
        <v>0</v>
      </c>
    </row>
    <row r="1004" spans="1:3" x14ac:dyDescent="0.25">
      <c r="A1004" s="631">
        <v>3443930</v>
      </c>
      <c r="B1004" s="632" t="s">
        <v>4236</v>
      </c>
      <c r="C1004" s="632">
        <v>0</v>
      </c>
    </row>
    <row r="1005" spans="1:3" x14ac:dyDescent="0.25">
      <c r="A1005" s="631">
        <v>3443931</v>
      </c>
      <c r="B1005" s="632" t="s">
        <v>4237</v>
      </c>
      <c r="C1005" s="632">
        <v>0</v>
      </c>
    </row>
    <row r="1006" spans="1:3" x14ac:dyDescent="0.25">
      <c r="A1006" s="631">
        <v>3443932</v>
      </c>
      <c r="B1006" s="632" t="s">
        <v>4238</v>
      </c>
      <c r="C1006" s="632">
        <v>0</v>
      </c>
    </row>
    <row r="1007" spans="1:3" x14ac:dyDescent="0.25">
      <c r="A1007" s="631">
        <v>3443933</v>
      </c>
      <c r="B1007" s="632" t="s">
        <v>4239</v>
      </c>
      <c r="C1007" s="632">
        <v>0</v>
      </c>
    </row>
    <row r="1008" spans="1:3" x14ac:dyDescent="0.25">
      <c r="A1008" s="631">
        <v>3443934</v>
      </c>
      <c r="B1008" s="632" t="s">
        <v>4240</v>
      </c>
      <c r="C1008" s="632">
        <v>0</v>
      </c>
    </row>
    <row r="1009" spans="1:3" x14ac:dyDescent="0.25">
      <c r="A1009" s="631">
        <v>3443935</v>
      </c>
      <c r="B1009" s="632" t="s">
        <v>4241</v>
      </c>
      <c r="C1009" s="632">
        <v>0</v>
      </c>
    </row>
    <row r="1010" spans="1:3" x14ac:dyDescent="0.25">
      <c r="A1010" s="631">
        <v>3444222</v>
      </c>
      <c r="B1010" s="632" t="s">
        <v>4242</v>
      </c>
      <c r="C1010" s="632">
        <v>0</v>
      </c>
    </row>
    <row r="1011" spans="1:3" x14ac:dyDescent="0.25">
      <c r="A1011" s="631">
        <v>3444223</v>
      </c>
      <c r="B1011" s="632" t="s">
        <v>4243</v>
      </c>
      <c r="C1011" s="632">
        <v>0</v>
      </c>
    </row>
    <row r="1012" spans="1:3" x14ac:dyDescent="0.25">
      <c r="A1012" s="631">
        <v>3444224</v>
      </c>
      <c r="B1012" s="632" t="s">
        <v>4244</v>
      </c>
      <c r="C1012" s="632">
        <v>0</v>
      </c>
    </row>
    <row r="1013" spans="1:3" x14ac:dyDescent="0.25">
      <c r="A1013" s="631">
        <v>3444225</v>
      </c>
      <c r="B1013" s="632" t="s">
        <v>4245</v>
      </c>
      <c r="C1013" s="632">
        <v>0</v>
      </c>
    </row>
    <row r="1014" spans="1:3" x14ac:dyDescent="0.25">
      <c r="A1014" s="631">
        <v>3444226</v>
      </c>
      <c r="B1014" s="632" t="s">
        <v>4246</v>
      </c>
      <c r="C1014" s="632">
        <v>0</v>
      </c>
    </row>
    <row r="1015" spans="1:3" x14ac:dyDescent="0.25">
      <c r="A1015" s="631">
        <v>3444227</v>
      </c>
      <c r="B1015" s="632" t="s">
        <v>4247</v>
      </c>
      <c r="C1015" s="632">
        <v>0</v>
      </c>
    </row>
    <row r="1016" spans="1:3" x14ac:dyDescent="0.25">
      <c r="A1016" s="631">
        <v>3444228</v>
      </c>
      <c r="B1016" s="632" t="s">
        <v>4248</v>
      </c>
      <c r="C1016" s="632">
        <v>0</v>
      </c>
    </row>
    <row r="1017" spans="1:3" x14ac:dyDescent="0.25">
      <c r="A1017" s="631">
        <v>3444229</v>
      </c>
      <c r="B1017" s="632" t="s">
        <v>4249</v>
      </c>
      <c r="C1017" s="632">
        <v>0</v>
      </c>
    </row>
    <row r="1018" spans="1:3" x14ac:dyDescent="0.25">
      <c r="A1018" s="631">
        <v>3444230</v>
      </c>
      <c r="B1018" s="632" t="s">
        <v>4250</v>
      </c>
      <c r="C1018" s="632">
        <v>0</v>
      </c>
    </row>
    <row r="1019" spans="1:3" x14ac:dyDescent="0.25">
      <c r="A1019" s="631">
        <v>3444231</v>
      </c>
      <c r="B1019" s="632" t="s">
        <v>4251</v>
      </c>
      <c r="C1019" s="632">
        <v>0</v>
      </c>
    </row>
    <row r="1020" spans="1:3" x14ac:dyDescent="0.25">
      <c r="A1020" s="631">
        <v>3444232</v>
      </c>
      <c r="B1020" s="632" t="s">
        <v>4252</v>
      </c>
      <c r="C1020" s="632">
        <v>0</v>
      </c>
    </row>
    <row r="1021" spans="1:3" x14ac:dyDescent="0.25">
      <c r="A1021" s="631">
        <v>3444233</v>
      </c>
      <c r="B1021" s="632" t="s">
        <v>4253</v>
      </c>
      <c r="C1021" s="632">
        <v>0</v>
      </c>
    </row>
    <row r="1022" spans="1:3" x14ac:dyDescent="0.25">
      <c r="A1022" s="631">
        <v>3444234</v>
      </c>
      <c r="B1022" s="632" t="s">
        <v>4254</v>
      </c>
      <c r="C1022" s="632">
        <v>0</v>
      </c>
    </row>
    <row r="1023" spans="1:3" x14ac:dyDescent="0.25">
      <c r="A1023" s="631">
        <v>3444235</v>
      </c>
      <c r="B1023" s="632" t="s">
        <v>4255</v>
      </c>
      <c r="C1023" s="632">
        <v>0</v>
      </c>
    </row>
    <row r="1024" spans="1:3" x14ac:dyDescent="0.25">
      <c r="A1024" s="631">
        <v>3444522</v>
      </c>
      <c r="B1024" s="632" t="s">
        <v>4256</v>
      </c>
      <c r="C1024" s="632">
        <v>0</v>
      </c>
    </row>
    <row r="1025" spans="1:3" x14ac:dyDescent="0.25">
      <c r="A1025" s="631">
        <v>3444523</v>
      </c>
      <c r="B1025" s="632" t="s">
        <v>4257</v>
      </c>
      <c r="C1025" s="632">
        <v>0</v>
      </c>
    </row>
    <row r="1026" spans="1:3" x14ac:dyDescent="0.25">
      <c r="A1026" s="631">
        <v>3444524</v>
      </c>
      <c r="B1026" s="632" t="s">
        <v>4258</v>
      </c>
      <c r="C1026" s="632">
        <v>0</v>
      </c>
    </row>
    <row r="1027" spans="1:3" x14ac:dyDescent="0.25">
      <c r="A1027" s="631">
        <v>3444525</v>
      </c>
      <c r="B1027" s="632" t="s">
        <v>4259</v>
      </c>
      <c r="C1027" s="632">
        <v>0</v>
      </c>
    </row>
    <row r="1028" spans="1:3" x14ac:dyDescent="0.25">
      <c r="A1028" s="631">
        <v>3444526</v>
      </c>
      <c r="B1028" s="632" t="s">
        <v>4260</v>
      </c>
      <c r="C1028" s="632">
        <v>0</v>
      </c>
    </row>
    <row r="1029" spans="1:3" x14ac:dyDescent="0.25">
      <c r="A1029" s="631">
        <v>3444527</v>
      </c>
      <c r="B1029" s="632" t="s">
        <v>4261</v>
      </c>
      <c r="C1029" s="632">
        <v>0</v>
      </c>
    </row>
    <row r="1030" spans="1:3" x14ac:dyDescent="0.25">
      <c r="A1030" s="631">
        <v>3444528</v>
      </c>
      <c r="B1030" s="632" t="s">
        <v>4262</v>
      </c>
      <c r="C1030" s="632">
        <v>0</v>
      </c>
    </row>
    <row r="1031" spans="1:3" x14ac:dyDescent="0.25">
      <c r="A1031" s="631">
        <v>3444529</v>
      </c>
      <c r="B1031" s="632" t="s">
        <v>4263</v>
      </c>
      <c r="C1031" s="632">
        <v>0</v>
      </c>
    </row>
    <row r="1032" spans="1:3" x14ac:dyDescent="0.25">
      <c r="A1032" s="631">
        <v>3444530</v>
      </c>
      <c r="B1032" s="632" t="s">
        <v>4264</v>
      </c>
      <c r="C1032" s="632">
        <v>0</v>
      </c>
    </row>
    <row r="1033" spans="1:3" x14ac:dyDescent="0.25">
      <c r="A1033" s="631">
        <v>3444531</v>
      </c>
      <c r="B1033" s="632" t="s">
        <v>4265</v>
      </c>
      <c r="C1033" s="632">
        <v>0</v>
      </c>
    </row>
    <row r="1034" spans="1:3" x14ac:dyDescent="0.25">
      <c r="A1034" s="631">
        <v>3444532</v>
      </c>
      <c r="B1034" s="632" t="s">
        <v>4266</v>
      </c>
      <c r="C1034" s="632">
        <v>0</v>
      </c>
    </row>
    <row r="1035" spans="1:3" x14ac:dyDescent="0.25">
      <c r="A1035" s="631">
        <v>3444533</v>
      </c>
      <c r="B1035" s="632" t="s">
        <v>4267</v>
      </c>
      <c r="C1035" s="632">
        <v>0</v>
      </c>
    </row>
    <row r="1036" spans="1:3" x14ac:dyDescent="0.25">
      <c r="A1036" s="631">
        <v>3444534</v>
      </c>
      <c r="B1036" s="632" t="s">
        <v>4268</v>
      </c>
      <c r="C1036" s="632">
        <v>0</v>
      </c>
    </row>
    <row r="1037" spans="1:3" x14ac:dyDescent="0.25">
      <c r="A1037" s="631">
        <v>3444535</v>
      </c>
      <c r="B1037" s="632" t="s">
        <v>4269</v>
      </c>
      <c r="C1037" s="632">
        <v>0</v>
      </c>
    </row>
    <row r="1038" spans="1:3" x14ac:dyDescent="0.25">
      <c r="A1038" s="631" t="s">
        <v>4270</v>
      </c>
      <c r="B1038" s="632" t="s">
        <v>4271</v>
      </c>
      <c r="C1038" s="632">
        <v>22478</v>
      </c>
    </row>
    <row r="1039" spans="1:3" x14ac:dyDescent="0.25">
      <c r="A1039" s="631" t="s">
        <v>4272</v>
      </c>
      <c r="B1039" s="632" t="s">
        <v>4273</v>
      </c>
      <c r="C1039" s="632">
        <v>22478</v>
      </c>
    </row>
    <row r="1040" spans="1:3" x14ac:dyDescent="0.25">
      <c r="A1040" s="631" t="s">
        <v>4274</v>
      </c>
      <c r="B1040" s="632" t="s">
        <v>4275</v>
      </c>
      <c r="C1040" s="632">
        <v>22478</v>
      </c>
    </row>
    <row r="1041" spans="1:3" x14ac:dyDescent="0.25">
      <c r="A1041" s="631" t="s">
        <v>4276</v>
      </c>
      <c r="B1041" s="632" t="s">
        <v>4277</v>
      </c>
      <c r="C1041" s="632">
        <v>22478</v>
      </c>
    </row>
    <row r="1042" spans="1:3" x14ac:dyDescent="0.25">
      <c r="A1042" s="631" t="s">
        <v>1083</v>
      </c>
      <c r="B1042" s="632" t="s">
        <v>1084</v>
      </c>
      <c r="C1042" s="632">
        <v>22478</v>
      </c>
    </row>
    <row r="1043" spans="1:3" x14ac:dyDescent="0.25">
      <c r="A1043" s="631" t="s">
        <v>1085</v>
      </c>
      <c r="B1043" s="632" t="s">
        <v>1086</v>
      </c>
      <c r="C1043" s="632">
        <v>22478</v>
      </c>
    </row>
    <row r="1044" spans="1:3" x14ac:dyDescent="0.25">
      <c r="A1044" s="631" t="s">
        <v>4278</v>
      </c>
      <c r="B1044" s="632" t="s">
        <v>4279</v>
      </c>
      <c r="C1044" s="632">
        <v>22478</v>
      </c>
    </row>
    <row r="1045" spans="1:3" x14ac:dyDescent="0.25">
      <c r="A1045" s="631" t="s">
        <v>4280</v>
      </c>
      <c r="B1045" s="632" t="s">
        <v>4281</v>
      </c>
      <c r="C1045" s="632">
        <v>22478</v>
      </c>
    </row>
    <row r="1046" spans="1:3" x14ac:dyDescent="0.25">
      <c r="A1046" s="631" t="s">
        <v>4282</v>
      </c>
      <c r="B1046" s="632" t="s">
        <v>4283</v>
      </c>
      <c r="C1046" s="632">
        <v>22478</v>
      </c>
    </row>
    <row r="1047" spans="1:3" x14ac:dyDescent="0.25">
      <c r="A1047" s="631" t="s">
        <v>4284</v>
      </c>
      <c r="B1047" s="632" t="s">
        <v>4285</v>
      </c>
      <c r="C1047" s="632">
        <v>22478</v>
      </c>
    </row>
    <row r="1048" spans="1:3" x14ac:dyDescent="0.25">
      <c r="A1048" s="631" t="s">
        <v>1087</v>
      </c>
      <c r="B1048" s="632" t="s">
        <v>1088</v>
      </c>
      <c r="C1048" s="632">
        <v>22478</v>
      </c>
    </row>
    <row r="1049" spans="1:3" x14ac:dyDescent="0.25">
      <c r="A1049" s="631" t="s">
        <v>1089</v>
      </c>
      <c r="B1049" s="632" t="s">
        <v>1090</v>
      </c>
      <c r="C1049" s="632">
        <v>22478</v>
      </c>
    </row>
    <row r="1050" spans="1:3" x14ac:dyDescent="0.25">
      <c r="A1050" s="631" t="s">
        <v>4286</v>
      </c>
      <c r="B1050" s="632" t="s">
        <v>4287</v>
      </c>
      <c r="C1050" s="632">
        <v>22478</v>
      </c>
    </row>
    <row r="1051" spans="1:3" x14ac:dyDescent="0.25">
      <c r="A1051" s="631" t="s">
        <v>4288</v>
      </c>
      <c r="B1051" s="632" t="s">
        <v>4289</v>
      </c>
      <c r="C1051" s="632">
        <v>22478</v>
      </c>
    </row>
    <row r="1052" spans="1:3" x14ac:dyDescent="0.25">
      <c r="A1052" s="631" t="s">
        <v>4290</v>
      </c>
      <c r="B1052" s="632" t="s">
        <v>4291</v>
      </c>
      <c r="C1052" s="632">
        <v>22478</v>
      </c>
    </row>
    <row r="1053" spans="1:3" x14ac:dyDescent="0.25">
      <c r="A1053" s="631" t="s">
        <v>4292</v>
      </c>
      <c r="B1053" s="632" t="s">
        <v>4293</v>
      </c>
      <c r="C1053" s="632">
        <v>22478</v>
      </c>
    </row>
    <row r="1054" spans="1:3" x14ac:dyDescent="0.25">
      <c r="A1054" s="631" t="s">
        <v>1091</v>
      </c>
      <c r="B1054" s="632" t="s">
        <v>1092</v>
      </c>
      <c r="C1054" s="632">
        <v>22478</v>
      </c>
    </row>
    <row r="1055" spans="1:3" x14ac:dyDescent="0.25">
      <c r="A1055" s="631" t="s">
        <v>1093</v>
      </c>
      <c r="B1055" s="632" t="s">
        <v>1094</v>
      </c>
      <c r="C1055" s="632">
        <v>22478</v>
      </c>
    </row>
    <row r="1056" spans="1:3" x14ac:dyDescent="0.25">
      <c r="A1056" s="631" t="s">
        <v>4294</v>
      </c>
      <c r="B1056" s="632" t="s">
        <v>4295</v>
      </c>
      <c r="C1056" s="632">
        <v>22478</v>
      </c>
    </row>
    <row r="1057" spans="1:7" x14ac:dyDescent="0.25">
      <c r="A1057" s="631" t="s">
        <v>4296</v>
      </c>
      <c r="B1057" s="632" t="s">
        <v>4297</v>
      </c>
      <c r="C1057" s="632">
        <v>22478</v>
      </c>
    </row>
    <row r="1058" spans="1:7" x14ac:dyDescent="0.25">
      <c r="A1058" s="631" t="s">
        <v>4298</v>
      </c>
      <c r="B1058" s="632" t="s">
        <v>4299</v>
      </c>
      <c r="C1058" s="632">
        <v>22478</v>
      </c>
    </row>
    <row r="1059" spans="1:7" x14ac:dyDescent="0.25">
      <c r="A1059" s="631" t="s">
        <v>4300</v>
      </c>
      <c r="B1059" s="632" t="s">
        <v>4301</v>
      </c>
      <c r="C1059" s="632">
        <v>22478</v>
      </c>
    </row>
    <row r="1060" spans="1:7" x14ac:dyDescent="0.25">
      <c r="A1060" s="631" t="s">
        <v>1095</v>
      </c>
      <c r="B1060" s="632" t="s">
        <v>1096</v>
      </c>
      <c r="C1060" s="632">
        <v>22478</v>
      </c>
    </row>
    <row r="1061" spans="1:7" x14ac:dyDescent="0.25">
      <c r="A1061" s="631" t="s">
        <v>1097</v>
      </c>
      <c r="B1061" s="632" t="s">
        <v>1098</v>
      </c>
      <c r="C1061" s="632">
        <v>22478</v>
      </c>
    </row>
    <row r="1062" spans="1:7" x14ac:dyDescent="0.25">
      <c r="A1062" s="631" t="s">
        <v>4302</v>
      </c>
      <c r="B1062" s="632" t="s">
        <v>4303</v>
      </c>
      <c r="C1062" s="632">
        <v>22478</v>
      </c>
    </row>
    <row r="1063" spans="1:7" x14ac:dyDescent="0.25">
      <c r="A1063" s="631" t="s">
        <v>4304</v>
      </c>
      <c r="B1063" s="632" t="s">
        <v>4305</v>
      </c>
      <c r="C1063" s="632">
        <v>22478</v>
      </c>
    </row>
    <row r="1064" spans="1:7" x14ac:dyDescent="0.25">
      <c r="A1064" s="631" t="s">
        <v>4306</v>
      </c>
      <c r="B1064" s="632" t="s">
        <v>4307</v>
      </c>
      <c r="C1064" s="632">
        <v>22478</v>
      </c>
    </row>
    <row r="1065" spans="1:7" x14ac:dyDescent="0.25">
      <c r="A1065" s="631" t="s">
        <v>4308</v>
      </c>
      <c r="B1065" s="632" t="s">
        <v>4309</v>
      </c>
      <c r="C1065" s="632">
        <v>22478</v>
      </c>
    </row>
    <row r="1066" spans="1:7" x14ac:dyDescent="0.25">
      <c r="A1066" s="631" t="s">
        <v>1099</v>
      </c>
      <c r="B1066" s="632" t="s">
        <v>1100</v>
      </c>
      <c r="C1066" s="632">
        <v>22478</v>
      </c>
    </row>
    <row r="1067" spans="1:7" x14ac:dyDescent="0.25">
      <c r="A1067" s="631" t="s">
        <v>1101</v>
      </c>
      <c r="B1067" s="632" t="s">
        <v>1102</v>
      </c>
      <c r="C1067" s="632">
        <v>22478</v>
      </c>
    </row>
    <row r="1068" spans="1:7" x14ac:dyDescent="0.25">
      <c r="A1068" s="631" t="s">
        <v>4310</v>
      </c>
      <c r="B1068" s="632" t="s">
        <v>4311</v>
      </c>
      <c r="C1068" s="632">
        <v>0</v>
      </c>
    </row>
    <row r="1069" spans="1:7" x14ac:dyDescent="0.25">
      <c r="A1069" s="631" t="s">
        <v>4312</v>
      </c>
      <c r="B1069" s="632" t="s">
        <v>4313</v>
      </c>
      <c r="C1069" s="632">
        <v>3140</v>
      </c>
      <c r="G1069" t="s">
        <v>711</v>
      </c>
    </row>
    <row r="1070" spans="1:7" x14ac:dyDescent="0.25">
      <c r="A1070" s="631">
        <v>3560024</v>
      </c>
      <c r="B1070" s="632" t="s">
        <v>1103</v>
      </c>
      <c r="C1070" s="632">
        <v>7213</v>
      </c>
    </row>
    <row r="1071" spans="1:7" x14ac:dyDescent="0.25">
      <c r="A1071" s="631" t="s">
        <v>1104</v>
      </c>
      <c r="B1071" s="632" t="s">
        <v>1105</v>
      </c>
      <c r="C1071" s="632">
        <v>8878</v>
      </c>
    </row>
    <row r="1072" spans="1:7" x14ac:dyDescent="0.25">
      <c r="A1072" s="631">
        <v>3560027</v>
      </c>
      <c r="B1072" s="632" t="s">
        <v>1106</v>
      </c>
      <c r="C1072" s="632">
        <v>7213</v>
      </c>
    </row>
    <row r="1073" spans="1:3" x14ac:dyDescent="0.25">
      <c r="A1073" s="631" t="s">
        <v>1107</v>
      </c>
      <c r="B1073" s="632" t="s">
        <v>1108</v>
      </c>
      <c r="C1073" s="632">
        <v>8878</v>
      </c>
    </row>
    <row r="1074" spans="1:3" x14ac:dyDescent="0.25">
      <c r="A1074" s="631">
        <v>3560124</v>
      </c>
      <c r="B1074" s="632" t="s">
        <v>1109</v>
      </c>
      <c r="C1074" s="632">
        <v>7213</v>
      </c>
    </row>
    <row r="1075" spans="1:3" x14ac:dyDescent="0.25">
      <c r="A1075" s="631" t="s">
        <v>1110</v>
      </c>
      <c r="B1075" s="632" t="s">
        <v>1111</v>
      </c>
      <c r="C1075" s="632">
        <v>8878</v>
      </c>
    </row>
    <row r="1076" spans="1:3" x14ac:dyDescent="0.25">
      <c r="A1076" s="631">
        <v>3560127</v>
      </c>
      <c r="B1076" s="632" t="s">
        <v>1112</v>
      </c>
      <c r="C1076" s="632">
        <v>7213</v>
      </c>
    </row>
    <row r="1077" spans="1:3" x14ac:dyDescent="0.25">
      <c r="A1077" s="631" t="s">
        <v>1113</v>
      </c>
      <c r="B1077" s="632" t="s">
        <v>1114</v>
      </c>
      <c r="C1077" s="632">
        <v>8878</v>
      </c>
    </row>
    <row r="1078" spans="1:3" x14ac:dyDescent="0.25">
      <c r="A1078" s="631">
        <v>3600030</v>
      </c>
      <c r="B1078" s="632" t="s">
        <v>1115</v>
      </c>
      <c r="C1078" s="632">
        <v>0</v>
      </c>
    </row>
    <row r="1079" spans="1:3" x14ac:dyDescent="0.25">
      <c r="A1079" s="631">
        <v>3600043</v>
      </c>
      <c r="B1079" s="632" t="s">
        <v>1116</v>
      </c>
      <c r="C1079" s="632">
        <v>2726</v>
      </c>
    </row>
    <row r="1080" spans="1:3" x14ac:dyDescent="0.25">
      <c r="A1080" s="631" t="s">
        <v>1117</v>
      </c>
      <c r="B1080" s="632" t="s">
        <v>1116</v>
      </c>
      <c r="C1080" s="632">
        <v>2215</v>
      </c>
    </row>
    <row r="1081" spans="1:3" x14ac:dyDescent="0.25">
      <c r="A1081" s="631">
        <v>3600046</v>
      </c>
      <c r="B1081" s="632" t="s">
        <v>1118</v>
      </c>
      <c r="C1081" s="632">
        <v>2726</v>
      </c>
    </row>
    <row r="1082" spans="1:3" x14ac:dyDescent="0.25">
      <c r="A1082" s="631">
        <v>3600100</v>
      </c>
      <c r="B1082" s="632" t="s">
        <v>1119</v>
      </c>
      <c r="C1082" s="632">
        <v>90</v>
      </c>
    </row>
    <row r="1083" spans="1:3" x14ac:dyDescent="0.25">
      <c r="A1083" s="631">
        <v>3600101</v>
      </c>
      <c r="B1083" s="632" t="s">
        <v>1120</v>
      </c>
      <c r="C1083" s="632">
        <v>0</v>
      </c>
    </row>
    <row r="1084" spans="1:3" x14ac:dyDescent="0.25">
      <c r="A1084" s="631">
        <v>3600131</v>
      </c>
      <c r="B1084" s="632" t="s">
        <v>1121</v>
      </c>
      <c r="C1084" s="632">
        <v>942</v>
      </c>
    </row>
    <row r="1085" spans="1:3" x14ac:dyDescent="0.25">
      <c r="A1085" s="631" t="s">
        <v>1122</v>
      </c>
      <c r="B1085" s="632" t="s">
        <v>1121</v>
      </c>
      <c r="C1085" s="632">
        <v>837</v>
      </c>
    </row>
    <row r="1086" spans="1:3" x14ac:dyDescent="0.25">
      <c r="A1086" s="631">
        <v>3600134</v>
      </c>
      <c r="B1086" s="632" t="s">
        <v>1123</v>
      </c>
      <c r="C1086" s="632">
        <v>942</v>
      </c>
    </row>
    <row r="1087" spans="1:3" x14ac:dyDescent="0.25">
      <c r="A1087" s="631" t="s">
        <v>1124</v>
      </c>
      <c r="B1087" s="632" t="s">
        <v>1123</v>
      </c>
      <c r="C1087" s="632">
        <v>837</v>
      </c>
    </row>
    <row r="1088" spans="1:3" x14ac:dyDescent="0.25">
      <c r="A1088" s="631">
        <v>3600136</v>
      </c>
      <c r="B1088" s="632" t="s">
        <v>1125</v>
      </c>
      <c r="C1088" s="632">
        <v>942</v>
      </c>
    </row>
    <row r="1089" spans="1:3" x14ac:dyDescent="0.25">
      <c r="A1089" s="631" t="s">
        <v>1126</v>
      </c>
      <c r="B1089" s="632" t="s">
        <v>1125</v>
      </c>
      <c r="C1089" s="632">
        <v>837</v>
      </c>
    </row>
    <row r="1090" spans="1:3" x14ac:dyDescent="0.25">
      <c r="A1090" s="631">
        <v>3600137</v>
      </c>
      <c r="B1090" s="632" t="s">
        <v>1127</v>
      </c>
      <c r="C1090" s="632">
        <v>942</v>
      </c>
    </row>
    <row r="1091" spans="1:3" x14ac:dyDescent="0.25">
      <c r="A1091" s="631" t="s">
        <v>1128</v>
      </c>
      <c r="B1091" s="632" t="s">
        <v>1127</v>
      </c>
      <c r="C1091" s="632">
        <v>837</v>
      </c>
    </row>
    <row r="1092" spans="1:3" x14ac:dyDescent="0.25">
      <c r="A1092" s="631">
        <v>3600138</v>
      </c>
      <c r="B1092" s="632" t="s">
        <v>1129</v>
      </c>
      <c r="C1092" s="632">
        <v>942</v>
      </c>
    </row>
    <row r="1093" spans="1:3" x14ac:dyDescent="0.25">
      <c r="A1093" s="631" t="s">
        <v>1130</v>
      </c>
      <c r="B1093" s="632" t="s">
        <v>1129</v>
      </c>
      <c r="C1093" s="632">
        <v>837</v>
      </c>
    </row>
    <row r="1094" spans="1:3" x14ac:dyDescent="0.25">
      <c r="A1094" s="631">
        <v>3600139</v>
      </c>
      <c r="B1094" s="632" t="s">
        <v>1131</v>
      </c>
      <c r="C1094" s="632">
        <v>942</v>
      </c>
    </row>
    <row r="1095" spans="1:3" x14ac:dyDescent="0.25">
      <c r="A1095" s="631" t="s">
        <v>1132</v>
      </c>
      <c r="B1095" s="632" t="s">
        <v>1131</v>
      </c>
      <c r="C1095" s="632">
        <v>837</v>
      </c>
    </row>
    <row r="1096" spans="1:3" x14ac:dyDescent="0.25">
      <c r="A1096" s="631">
        <v>3600142</v>
      </c>
      <c r="B1096" s="632" t="s">
        <v>1133</v>
      </c>
      <c r="C1096" s="632">
        <v>942</v>
      </c>
    </row>
    <row r="1097" spans="1:3" x14ac:dyDescent="0.25">
      <c r="A1097" s="631" t="s">
        <v>1134</v>
      </c>
      <c r="B1097" s="632" t="s">
        <v>1133</v>
      </c>
      <c r="C1097" s="632">
        <v>837</v>
      </c>
    </row>
    <row r="1098" spans="1:3" x14ac:dyDescent="0.25">
      <c r="A1098" s="631">
        <v>3600145</v>
      </c>
      <c r="B1098" s="632" t="s">
        <v>1135</v>
      </c>
      <c r="C1098" s="632">
        <v>942</v>
      </c>
    </row>
    <row r="1099" spans="1:3" x14ac:dyDescent="0.25">
      <c r="A1099" s="631">
        <v>3600433</v>
      </c>
      <c r="B1099" s="632" t="s">
        <v>1136</v>
      </c>
      <c r="C1099" s="632">
        <v>942</v>
      </c>
    </row>
    <row r="1100" spans="1:3" x14ac:dyDescent="0.25">
      <c r="A1100" s="631" t="s">
        <v>1137</v>
      </c>
      <c r="B1100" s="632" t="s">
        <v>1138</v>
      </c>
      <c r="C1100" s="632">
        <v>837</v>
      </c>
    </row>
    <row r="1101" spans="1:3" x14ac:dyDescent="0.25">
      <c r="A1101" s="631">
        <v>3600436</v>
      </c>
      <c r="B1101" s="632" t="s">
        <v>1139</v>
      </c>
      <c r="C1101" s="632">
        <v>942</v>
      </c>
    </row>
    <row r="1102" spans="1:3" x14ac:dyDescent="0.25">
      <c r="A1102" s="631">
        <v>3600437</v>
      </c>
      <c r="B1102" s="632" t="s">
        <v>1140</v>
      </c>
      <c r="C1102" s="632">
        <v>0</v>
      </c>
    </row>
    <row r="1103" spans="1:3" x14ac:dyDescent="0.25">
      <c r="A1103" s="631">
        <v>3600439</v>
      </c>
      <c r="B1103" s="632" t="s">
        <v>1141</v>
      </c>
      <c r="C1103" s="632">
        <v>942</v>
      </c>
    </row>
    <row r="1104" spans="1:3" x14ac:dyDescent="0.25">
      <c r="A1104" s="631">
        <v>3600442</v>
      </c>
      <c r="B1104" s="632" t="s">
        <v>1142</v>
      </c>
      <c r="C1104" s="632">
        <v>942</v>
      </c>
    </row>
    <row r="1105" spans="1:3" x14ac:dyDescent="0.25">
      <c r="A1105" s="631">
        <v>3600445</v>
      </c>
      <c r="B1105" s="632" t="s">
        <v>1143</v>
      </c>
      <c r="C1105" s="632">
        <v>942</v>
      </c>
    </row>
    <row r="1106" spans="1:3" x14ac:dyDescent="0.25">
      <c r="A1106" s="631">
        <v>3600633</v>
      </c>
      <c r="B1106" s="632" t="s">
        <v>1144</v>
      </c>
      <c r="C1106" s="632">
        <v>2534</v>
      </c>
    </row>
    <row r="1107" spans="1:3" x14ac:dyDescent="0.25">
      <c r="A1107" s="631" t="s">
        <v>1145</v>
      </c>
      <c r="B1107" s="632" t="s">
        <v>1144</v>
      </c>
      <c r="C1107" s="632">
        <v>2059</v>
      </c>
    </row>
    <row r="1108" spans="1:3" x14ac:dyDescent="0.25">
      <c r="A1108" s="631">
        <v>3600636</v>
      </c>
      <c r="B1108" s="632" t="s">
        <v>1146</v>
      </c>
      <c r="C1108" s="632">
        <v>2318</v>
      </c>
    </row>
    <row r="1109" spans="1:3" x14ac:dyDescent="0.25">
      <c r="A1109" s="631" t="s">
        <v>1147</v>
      </c>
      <c r="B1109" s="632" t="s">
        <v>1146</v>
      </c>
      <c r="C1109" s="632">
        <v>2059</v>
      </c>
    </row>
    <row r="1110" spans="1:3" x14ac:dyDescent="0.25">
      <c r="A1110" s="631" t="s">
        <v>1148</v>
      </c>
      <c r="B1110" s="632" t="s">
        <v>1149</v>
      </c>
      <c r="C1110" s="632">
        <v>2318</v>
      </c>
    </row>
    <row r="1111" spans="1:3" x14ac:dyDescent="0.25">
      <c r="A1111" s="631" t="s">
        <v>1150</v>
      </c>
      <c r="B1111" s="632" t="s">
        <v>1149</v>
      </c>
      <c r="C1111" s="632">
        <v>2059</v>
      </c>
    </row>
    <row r="1112" spans="1:3" x14ac:dyDescent="0.25">
      <c r="A1112" s="631" t="s">
        <v>1151</v>
      </c>
      <c r="B1112" s="632" t="s">
        <v>1152</v>
      </c>
      <c r="C1112" s="632">
        <v>2318</v>
      </c>
    </row>
    <row r="1113" spans="1:3" x14ac:dyDescent="0.25">
      <c r="A1113" s="631" t="s">
        <v>1153</v>
      </c>
      <c r="B1113" s="632" t="s">
        <v>1152</v>
      </c>
      <c r="C1113" s="632">
        <v>2059</v>
      </c>
    </row>
    <row r="1114" spans="1:3" x14ac:dyDescent="0.25">
      <c r="A1114" s="631" t="s">
        <v>1154</v>
      </c>
      <c r="B1114" s="632" t="s">
        <v>1155</v>
      </c>
      <c r="C1114" s="632">
        <v>2318</v>
      </c>
    </row>
    <row r="1115" spans="1:3" x14ac:dyDescent="0.25">
      <c r="A1115" s="631">
        <v>3600833</v>
      </c>
      <c r="B1115" s="632" t="s">
        <v>1156</v>
      </c>
      <c r="C1115" s="632">
        <v>2215</v>
      </c>
    </row>
    <row r="1116" spans="1:3" x14ac:dyDescent="0.25">
      <c r="A1116" s="631">
        <v>3600836</v>
      </c>
      <c r="B1116" s="632" t="s">
        <v>1157</v>
      </c>
      <c r="C1116" s="632">
        <v>2215</v>
      </c>
    </row>
    <row r="1117" spans="1:3" x14ac:dyDescent="0.25">
      <c r="A1117" s="631">
        <v>3600839</v>
      </c>
      <c r="B1117" s="632" t="s">
        <v>1158</v>
      </c>
      <c r="C1117" s="632">
        <v>2215</v>
      </c>
    </row>
    <row r="1118" spans="1:3" x14ac:dyDescent="0.25">
      <c r="A1118" s="631">
        <v>3600842</v>
      </c>
      <c r="B1118" s="632" t="s">
        <v>1159</v>
      </c>
      <c r="C1118" s="632">
        <v>2215</v>
      </c>
    </row>
    <row r="1119" spans="1:3" x14ac:dyDescent="0.25">
      <c r="A1119" s="631">
        <v>3600845</v>
      </c>
      <c r="B1119" s="632" t="s">
        <v>1160</v>
      </c>
      <c r="C1119" s="632">
        <v>2215</v>
      </c>
    </row>
    <row r="1120" spans="1:3" x14ac:dyDescent="0.25">
      <c r="A1120" s="631">
        <v>3600933</v>
      </c>
      <c r="B1120" s="632" t="s">
        <v>1161</v>
      </c>
      <c r="C1120" s="632">
        <v>837</v>
      </c>
    </row>
    <row r="1121" spans="1:3" x14ac:dyDescent="0.25">
      <c r="A1121" s="631">
        <v>3600936</v>
      </c>
      <c r="B1121" s="632" t="s">
        <v>1162</v>
      </c>
      <c r="C1121" s="632">
        <v>837</v>
      </c>
    </row>
    <row r="1122" spans="1:3" x14ac:dyDescent="0.25">
      <c r="A1122" s="631">
        <v>3600939</v>
      </c>
      <c r="B1122" s="632" t="s">
        <v>1163</v>
      </c>
      <c r="C1122" s="632">
        <v>837</v>
      </c>
    </row>
    <row r="1123" spans="1:3" x14ac:dyDescent="0.25">
      <c r="A1123" s="631">
        <v>3600942</v>
      </c>
      <c r="B1123" s="632" t="s">
        <v>1164</v>
      </c>
      <c r="C1123" s="632">
        <v>837</v>
      </c>
    </row>
    <row r="1124" spans="1:3" x14ac:dyDescent="0.25">
      <c r="A1124" s="631">
        <v>3600945</v>
      </c>
      <c r="B1124" s="632" t="s">
        <v>1165</v>
      </c>
      <c r="C1124" s="632">
        <v>837</v>
      </c>
    </row>
    <row r="1125" spans="1:3" x14ac:dyDescent="0.25">
      <c r="A1125" s="631">
        <v>3601033</v>
      </c>
      <c r="B1125" s="632" t="s">
        <v>1166</v>
      </c>
      <c r="C1125" s="632">
        <v>248</v>
      </c>
    </row>
    <row r="1126" spans="1:3" x14ac:dyDescent="0.25">
      <c r="A1126" s="631">
        <v>3601036</v>
      </c>
      <c r="B1126" s="632" t="s">
        <v>1167</v>
      </c>
      <c r="C1126" s="632">
        <v>248</v>
      </c>
    </row>
    <row r="1127" spans="1:3" x14ac:dyDescent="0.25">
      <c r="A1127" s="631">
        <v>3601039</v>
      </c>
      <c r="B1127" s="632" t="s">
        <v>1168</v>
      </c>
      <c r="C1127" s="632">
        <v>248</v>
      </c>
    </row>
    <row r="1128" spans="1:3" x14ac:dyDescent="0.25">
      <c r="A1128" s="631">
        <v>3601042</v>
      </c>
      <c r="B1128" s="632" t="s">
        <v>1169</v>
      </c>
      <c r="C1128" s="632">
        <v>248</v>
      </c>
    </row>
    <row r="1129" spans="1:3" x14ac:dyDescent="0.25">
      <c r="A1129" s="631">
        <v>3601045</v>
      </c>
      <c r="B1129" s="632" t="s">
        <v>1170</v>
      </c>
      <c r="C1129" s="632">
        <v>248</v>
      </c>
    </row>
    <row r="1130" spans="1:3" x14ac:dyDescent="0.25">
      <c r="A1130" s="631">
        <v>3601050</v>
      </c>
      <c r="B1130" s="632" t="s">
        <v>1171</v>
      </c>
      <c r="C1130" s="632">
        <v>247</v>
      </c>
    </row>
    <row r="1131" spans="1:3" x14ac:dyDescent="0.25">
      <c r="A1131" s="631">
        <v>3601445</v>
      </c>
      <c r="B1131" s="632" t="s">
        <v>1172</v>
      </c>
      <c r="C1131" s="632">
        <v>0</v>
      </c>
    </row>
    <row r="1132" spans="1:3" x14ac:dyDescent="0.25">
      <c r="A1132" s="633">
        <v>3611136</v>
      </c>
      <c r="B1132" s="632" t="s">
        <v>1173</v>
      </c>
      <c r="C1132" s="632">
        <v>2318</v>
      </c>
    </row>
    <row r="1133" spans="1:3" x14ac:dyDescent="0.25">
      <c r="A1133" s="631" t="s">
        <v>1174</v>
      </c>
      <c r="B1133" s="632" t="s">
        <v>1173</v>
      </c>
      <c r="C1133" s="632">
        <v>2059</v>
      </c>
    </row>
    <row r="1134" spans="1:3" x14ac:dyDescent="0.25">
      <c r="A1134" s="631">
        <v>3611139</v>
      </c>
      <c r="B1134" s="632" t="s">
        <v>1175</v>
      </c>
      <c r="C1134" s="632">
        <v>2318</v>
      </c>
    </row>
    <row r="1135" spans="1:3" x14ac:dyDescent="0.25">
      <c r="A1135" s="631" t="s">
        <v>1176</v>
      </c>
      <c r="B1135" s="632" t="s">
        <v>1175</v>
      </c>
      <c r="C1135" s="632">
        <v>2059</v>
      </c>
    </row>
    <row r="1136" spans="1:3" x14ac:dyDescent="0.25">
      <c r="A1136" s="631">
        <v>3611142</v>
      </c>
      <c r="B1136" s="632" t="s">
        <v>1177</v>
      </c>
      <c r="C1136" s="632">
        <v>2318</v>
      </c>
    </row>
    <row r="1137" spans="1:3" x14ac:dyDescent="0.25">
      <c r="A1137" s="631" t="s">
        <v>1178</v>
      </c>
      <c r="B1137" s="632" t="s">
        <v>1177</v>
      </c>
      <c r="C1137" s="632">
        <v>2059</v>
      </c>
    </row>
    <row r="1138" spans="1:3" x14ac:dyDescent="0.25">
      <c r="A1138" s="631">
        <v>3611145</v>
      </c>
      <c r="B1138" s="632" t="s">
        <v>1179</v>
      </c>
      <c r="C1138" s="632">
        <v>2318</v>
      </c>
    </row>
    <row r="1139" spans="1:3" x14ac:dyDescent="0.25">
      <c r="A1139" s="631">
        <v>3611150</v>
      </c>
      <c r="B1139" s="632" t="s">
        <v>1180</v>
      </c>
      <c r="C1139" s="632">
        <v>2318</v>
      </c>
    </row>
    <row r="1140" spans="1:3" x14ac:dyDescent="0.25">
      <c r="A1140" s="631">
        <v>3620033</v>
      </c>
      <c r="B1140" s="632" t="s">
        <v>1181</v>
      </c>
      <c r="C1140" s="632">
        <v>1531</v>
      </c>
    </row>
    <row r="1141" spans="1:3" x14ac:dyDescent="0.25">
      <c r="A1141" s="631">
        <v>3620036</v>
      </c>
      <c r="B1141" s="632" t="s">
        <v>1182</v>
      </c>
      <c r="C1141" s="632">
        <v>1531</v>
      </c>
    </row>
    <row r="1142" spans="1:3" x14ac:dyDescent="0.25">
      <c r="A1142" s="631">
        <v>3620039</v>
      </c>
      <c r="B1142" s="632" t="s">
        <v>1183</v>
      </c>
      <c r="C1142" s="632">
        <v>1531</v>
      </c>
    </row>
    <row r="1143" spans="1:3" x14ac:dyDescent="0.25">
      <c r="A1143" s="631">
        <v>3620042</v>
      </c>
      <c r="B1143" s="632" t="s">
        <v>1184</v>
      </c>
      <c r="C1143" s="632">
        <v>1531</v>
      </c>
    </row>
    <row r="1144" spans="1:3" x14ac:dyDescent="0.25">
      <c r="A1144" s="631">
        <v>3620045</v>
      </c>
      <c r="B1144" s="632" t="s">
        <v>1185</v>
      </c>
      <c r="C1144" s="632">
        <v>1531</v>
      </c>
    </row>
    <row r="1145" spans="1:3" x14ac:dyDescent="0.25">
      <c r="A1145" s="631">
        <v>3660019</v>
      </c>
      <c r="B1145" s="632" t="s">
        <v>1186</v>
      </c>
      <c r="C1145" s="632">
        <v>88</v>
      </c>
    </row>
    <row r="1146" spans="1:3" x14ac:dyDescent="0.25">
      <c r="A1146" s="631">
        <v>3670070</v>
      </c>
      <c r="B1146" s="632" t="s">
        <v>1187</v>
      </c>
      <c r="C1146" s="632">
        <v>64</v>
      </c>
    </row>
    <row r="1147" spans="1:3" x14ac:dyDescent="0.25">
      <c r="A1147" s="631">
        <v>3670160</v>
      </c>
      <c r="B1147" s="632" t="s">
        <v>1188</v>
      </c>
      <c r="C1147" s="632">
        <v>13</v>
      </c>
    </row>
    <row r="1148" spans="1:3" x14ac:dyDescent="0.25">
      <c r="A1148" s="631">
        <v>3673033</v>
      </c>
      <c r="B1148" s="632" t="s">
        <v>1189</v>
      </c>
      <c r="C1148" s="632">
        <v>1650</v>
      </c>
    </row>
    <row r="1149" spans="1:3" x14ac:dyDescent="0.25">
      <c r="A1149" s="631">
        <v>3673639</v>
      </c>
      <c r="B1149" s="632" t="s">
        <v>1190</v>
      </c>
      <c r="C1149" s="632">
        <v>1650</v>
      </c>
    </row>
    <row r="1150" spans="1:3" x14ac:dyDescent="0.25">
      <c r="A1150" s="631">
        <v>3674245</v>
      </c>
      <c r="B1150" s="632" t="s">
        <v>1191</v>
      </c>
      <c r="C1150" s="632">
        <v>1650</v>
      </c>
    </row>
    <row r="1151" spans="1:3" x14ac:dyDescent="0.25">
      <c r="A1151" s="631">
        <v>3683033</v>
      </c>
      <c r="B1151" s="632" t="s">
        <v>1192</v>
      </c>
      <c r="C1151" s="632">
        <v>1650</v>
      </c>
    </row>
    <row r="1152" spans="1:3" x14ac:dyDescent="0.25">
      <c r="A1152" s="631">
        <v>3683639</v>
      </c>
      <c r="B1152" s="632" t="s">
        <v>1193</v>
      </c>
      <c r="C1152" s="632">
        <v>1650</v>
      </c>
    </row>
    <row r="1153" spans="1:3" x14ac:dyDescent="0.25">
      <c r="A1153" s="631">
        <v>3684245</v>
      </c>
      <c r="B1153" s="632" t="s">
        <v>1194</v>
      </c>
      <c r="C1153" s="632">
        <v>1650</v>
      </c>
    </row>
    <row r="1154" spans="1:3" x14ac:dyDescent="0.25">
      <c r="A1154" s="631">
        <v>3691533</v>
      </c>
      <c r="B1154" s="632" t="s">
        <v>1195</v>
      </c>
      <c r="C1154" s="632">
        <v>942</v>
      </c>
    </row>
    <row r="1155" spans="1:3" x14ac:dyDescent="0.25">
      <c r="A1155" s="631" t="s">
        <v>1196</v>
      </c>
      <c r="B1155" s="632" t="s">
        <v>1195</v>
      </c>
      <c r="C1155" s="632">
        <v>837</v>
      </c>
    </row>
    <row r="1156" spans="1:3" x14ac:dyDescent="0.25">
      <c r="A1156" s="631">
        <v>3691536</v>
      </c>
      <c r="B1156" s="632" t="s">
        <v>1197</v>
      </c>
      <c r="C1156" s="632">
        <v>942</v>
      </c>
    </row>
    <row r="1157" spans="1:3" x14ac:dyDescent="0.25">
      <c r="A1157" s="631" t="s">
        <v>1198</v>
      </c>
      <c r="B1157" s="632" t="s">
        <v>1197</v>
      </c>
      <c r="C1157" s="632">
        <v>837</v>
      </c>
    </row>
    <row r="1158" spans="1:3" x14ac:dyDescent="0.25">
      <c r="A1158" s="631">
        <v>3691539</v>
      </c>
      <c r="B1158" s="632" t="s">
        <v>1199</v>
      </c>
      <c r="C1158" s="632">
        <v>942</v>
      </c>
    </row>
    <row r="1159" spans="1:3" x14ac:dyDescent="0.25">
      <c r="A1159" s="631" t="s">
        <v>1200</v>
      </c>
      <c r="B1159" s="632" t="s">
        <v>1199</v>
      </c>
      <c r="C1159" s="632">
        <v>837</v>
      </c>
    </row>
    <row r="1160" spans="1:3" x14ac:dyDescent="0.25">
      <c r="A1160" s="631">
        <v>3691542</v>
      </c>
      <c r="B1160" s="632" t="s">
        <v>1201</v>
      </c>
      <c r="C1160" s="632">
        <v>942</v>
      </c>
    </row>
    <row r="1161" spans="1:3" x14ac:dyDescent="0.25">
      <c r="A1161" s="631" t="s">
        <v>1202</v>
      </c>
      <c r="B1161" s="632" t="s">
        <v>1201</v>
      </c>
      <c r="C1161" s="632">
        <v>837</v>
      </c>
    </row>
    <row r="1162" spans="1:3" x14ac:dyDescent="0.25">
      <c r="A1162" s="631">
        <v>3691545</v>
      </c>
      <c r="B1162" s="632" t="s">
        <v>1203</v>
      </c>
      <c r="C1162" s="632">
        <v>942</v>
      </c>
    </row>
    <row r="1163" spans="1:3" x14ac:dyDescent="0.25">
      <c r="A1163" s="631">
        <v>3691550</v>
      </c>
      <c r="B1163" s="632" t="s">
        <v>1204</v>
      </c>
      <c r="C1163" s="632">
        <v>1030</v>
      </c>
    </row>
    <row r="1164" spans="1:3" x14ac:dyDescent="0.25">
      <c r="A1164" s="631">
        <v>3691633</v>
      </c>
      <c r="B1164" s="632" t="s">
        <v>1205</v>
      </c>
      <c r="C1164" s="632">
        <v>942</v>
      </c>
    </row>
    <row r="1165" spans="1:3" x14ac:dyDescent="0.25">
      <c r="A1165" s="631">
        <v>3691636</v>
      </c>
      <c r="B1165" s="632" t="s">
        <v>1206</v>
      </c>
      <c r="C1165" s="632">
        <v>942</v>
      </c>
    </row>
    <row r="1166" spans="1:3" x14ac:dyDescent="0.25">
      <c r="A1166" s="631">
        <v>3691639</v>
      </c>
      <c r="B1166" s="632" t="s">
        <v>1207</v>
      </c>
      <c r="C1166" s="632">
        <v>942</v>
      </c>
    </row>
    <row r="1167" spans="1:3" x14ac:dyDescent="0.25">
      <c r="A1167" s="631">
        <v>3691642</v>
      </c>
      <c r="B1167" s="632" t="s">
        <v>1208</v>
      </c>
      <c r="C1167" s="632">
        <v>1030</v>
      </c>
    </row>
    <row r="1168" spans="1:3" x14ac:dyDescent="0.25">
      <c r="A1168" s="631">
        <v>3691645</v>
      </c>
      <c r="B1168" s="632" t="s">
        <v>1209</v>
      </c>
      <c r="C1168" s="632">
        <v>1030</v>
      </c>
    </row>
    <row r="1169" spans="1:3" x14ac:dyDescent="0.25">
      <c r="A1169" s="631">
        <v>3700061</v>
      </c>
      <c r="B1169" s="632" t="s">
        <v>1210</v>
      </c>
      <c r="C1169" s="632">
        <v>0</v>
      </c>
    </row>
    <row r="1170" spans="1:3" x14ac:dyDescent="0.25">
      <c r="A1170" s="631">
        <v>3700100</v>
      </c>
      <c r="B1170" s="632" t="s">
        <v>1211</v>
      </c>
      <c r="C1170" s="632">
        <v>7</v>
      </c>
    </row>
    <row r="1171" spans="1:3" x14ac:dyDescent="0.25">
      <c r="A1171" s="631">
        <v>3700133</v>
      </c>
      <c r="B1171" s="632" t="s">
        <v>1212</v>
      </c>
      <c r="C1171" s="632">
        <v>538</v>
      </c>
    </row>
    <row r="1172" spans="1:3" x14ac:dyDescent="0.25">
      <c r="A1172" s="631">
        <v>3700142</v>
      </c>
      <c r="B1172" s="632" t="s">
        <v>1213</v>
      </c>
      <c r="C1172" s="632">
        <v>538</v>
      </c>
    </row>
    <row r="1173" spans="1:3" x14ac:dyDescent="0.25">
      <c r="A1173" s="631">
        <v>3700145</v>
      </c>
      <c r="B1173" s="632" t="s">
        <v>1214</v>
      </c>
      <c r="C1173" s="632">
        <v>538</v>
      </c>
    </row>
    <row r="1174" spans="1:3" x14ac:dyDescent="0.25">
      <c r="A1174" s="631">
        <v>3700230</v>
      </c>
      <c r="B1174" s="632" t="s">
        <v>1215</v>
      </c>
      <c r="C1174" s="632">
        <v>352</v>
      </c>
    </row>
    <row r="1175" spans="1:3" x14ac:dyDescent="0.25">
      <c r="A1175" s="631">
        <v>3700233</v>
      </c>
      <c r="B1175" s="632" t="s">
        <v>1216</v>
      </c>
      <c r="C1175" s="632">
        <v>352</v>
      </c>
    </row>
    <row r="1176" spans="1:3" x14ac:dyDescent="0.25">
      <c r="A1176" s="631">
        <v>3700236</v>
      </c>
      <c r="B1176" s="632" t="s">
        <v>1217</v>
      </c>
      <c r="C1176" s="632">
        <v>352</v>
      </c>
    </row>
    <row r="1177" spans="1:3" x14ac:dyDescent="0.25">
      <c r="A1177" s="631">
        <v>3700239</v>
      </c>
      <c r="B1177" s="632" t="s">
        <v>1218</v>
      </c>
      <c r="C1177" s="632">
        <v>352</v>
      </c>
    </row>
    <row r="1178" spans="1:3" x14ac:dyDescent="0.25">
      <c r="A1178" s="631">
        <v>3700242</v>
      </c>
      <c r="B1178" s="632" t="s">
        <v>1219</v>
      </c>
      <c r="C1178" s="632">
        <v>352</v>
      </c>
    </row>
    <row r="1179" spans="1:3" x14ac:dyDescent="0.25">
      <c r="A1179" s="631">
        <v>3700245</v>
      </c>
      <c r="B1179" s="632" t="s">
        <v>1220</v>
      </c>
      <c r="C1179" s="632">
        <v>352</v>
      </c>
    </row>
    <row r="1180" spans="1:3" x14ac:dyDescent="0.25">
      <c r="A1180" s="631">
        <v>3700250</v>
      </c>
      <c r="B1180" s="632" t="s">
        <v>1221</v>
      </c>
      <c r="C1180" s="632">
        <v>352</v>
      </c>
    </row>
    <row r="1181" spans="1:3" x14ac:dyDescent="0.25">
      <c r="A1181" s="631">
        <v>3700333</v>
      </c>
      <c r="B1181" s="632" t="s">
        <v>1222</v>
      </c>
      <c r="C1181" s="632">
        <v>69</v>
      </c>
    </row>
    <row r="1182" spans="1:3" x14ac:dyDescent="0.25">
      <c r="A1182" s="631">
        <v>3700334</v>
      </c>
      <c r="B1182" s="632" t="s">
        <v>1223</v>
      </c>
      <c r="C1182" s="632">
        <v>69</v>
      </c>
    </row>
    <row r="1183" spans="1:3" x14ac:dyDescent="0.25">
      <c r="A1183" s="631">
        <v>3700335</v>
      </c>
      <c r="B1183" s="632" t="s">
        <v>1224</v>
      </c>
      <c r="C1183" s="632">
        <v>207</v>
      </c>
    </row>
    <row r="1184" spans="1:3" x14ac:dyDescent="0.25">
      <c r="A1184" s="631">
        <v>3700339</v>
      </c>
      <c r="B1184" s="632" t="s">
        <v>1225</v>
      </c>
      <c r="C1184" s="632">
        <v>69</v>
      </c>
    </row>
    <row r="1185" spans="1:3" x14ac:dyDescent="0.25">
      <c r="A1185" s="631">
        <v>3700340</v>
      </c>
      <c r="B1185" s="632" t="s">
        <v>1226</v>
      </c>
      <c r="C1185" s="632">
        <v>69</v>
      </c>
    </row>
    <row r="1186" spans="1:3" x14ac:dyDescent="0.25">
      <c r="A1186" s="631">
        <v>3700341</v>
      </c>
      <c r="B1186" s="632" t="s">
        <v>1227</v>
      </c>
      <c r="C1186" s="632">
        <v>207</v>
      </c>
    </row>
    <row r="1187" spans="1:3" x14ac:dyDescent="0.25">
      <c r="A1187" s="631">
        <v>3700345</v>
      </c>
      <c r="B1187" s="632" t="s">
        <v>1228</v>
      </c>
      <c r="C1187" s="632">
        <v>69</v>
      </c>
    </row>
    <row r="1188" spans="1:3" x14ac:dyDescent="0.25">
      <c r="A1188" s="631">
        <v>3700346</v>
      </c>
      <c r="B1188" s="632" t="s">
        <v>1229</v>
      </c>
      <c r="C1188" s="632">
        <v>69</v>
      </c>
    </row>
    <row r="1189" spans="1:3" x14ac:dyDescent="0.25">
      <c r="A1189" s="631">
        <v>3700347</v>
      </c>
      <c r="B1189" s="632" t="s">
        <v>1230</v>
      </c>
      <c r="C1189" s="632">
        <v>207</v>
      </c>
    </row>
    <row r="1190" spans="1:3" x14ac:dyDescent="0.25">
      <c r="A1190" s="631">
        <v>3700350</v>
      </c>
      <c r="B1190" s="632" t="s">
        <v>1231</v>
      </c>
      <c r="C1190" s="632">
        <v>69</v>
      </c>
    </row>
    <row r="1191" spans="1:3" x14ac:dyDescent="0.25">
      <c r="A1191" s="631">
        <v>3700351</v>
      </c>
      <c r="B1191" s="632" t="s">
        <v>1232</v>
      </c>
      <c r="C1191" s="632">
        <v>69</v>
      </c>
    </row>
    <row r="1192" spans="1:3" x14ac:dyDescent="0.25">
      <c r="A1192" s="631">
        <v>3700352</v>
      </c>
      <c r="B1192" s="632" t="s">
        <v>1233</v>
      </c>
      <c r="C1192" s="632">
        <v>207</v>
      </c>
    </row>
    <row r="1193" spans="1:3" x14ac:dyDescent="0.25">
      <c r="A1193" s="631">
        <v>3700353</v>
      </c>
      <c r="B1193" s="632" t="s">
        <v>1234</v>
      </c>
      <c r="C1193" s="632">
        <v>207</v>
      </c>
    </row>
    <row r="1194" spans="1:3" x14ac:dyDescent="0.25">
      <c r="A1194" s="631">
        <v>3700354</v>
      </c>
      <c r="B1194" s="632" t="s">
        <v>1235</v>
      </c>
      <c r="C1194" s="632">
        <v>207</v>
      </c>
    </row>
    <row r="1195" spans="1:3" x14ac:dyDescent="0.25">
      <c r="A1195" s="631">
        <v>3700355</v>
      </c>
      <c r="B1195" s="632" t="s">
        <v>1236</v>
      </c>
      <c r="C1195" s="632">
        <v>207</v>
      </c>
    </row>
    <row r="1196" spans="1:3" x14ac:dyDescent="0.25">
      <c r="A1196" s="631">
        <v>3700356</v>
      </c>
      <c r="B1196" s="632" t="s">
        <v>1237</v>
      </c>
      <c r="C1196" s="632">
        <v>207</v>
      </c>
    </row>
    <row r="1197" spans="1:3" x14ac:dyDescent="0.25">
      <c r="A1197" s="631">
        <v>3700357</v>
      </c>
      <c r="B1197" s="632" t="s">
        <v>1238</v>
      </c>
      <c r="C1197" s="632">
        <v>207</v>
      </c>
    </row>
    <row r="1198" spans="1:3" x14ac:dyDescent="0.25">
      <c r="A1198" s="631">
        <v>3700358</v>
      </c>
      <c r="B1198" s="632" t="s">
        <v>1239</v>
      </c>
      <c r="C1198" s="632">
        <v>207</v>
      </c>
    </row>
    <row r="1199" spans="1:3" x14ac:dyDescent="0.25">
      <c r="A1199" s="631">
        <v>3700359</v>
      </c>
      <c r="B1199" s="632" t="s">
        <v>1240</v>
      </c>
      <c r="C1199" s="632">
        <v>207</v>
      </c>
    </row>
    <row r="1200" spans="1:3" x14ac:dyDescent="0.25">
      <c r="A1200" s="631">
        <v>3700360</v>
      </c>
      <c r="B1200" s="632" t="s">
        <v>1241</v>
      </c>
      <c r="C1200" s="632">
        <v>207</v>
      </c>
    </row>
    <row r="1201" spans="1:3" x14ac:dyDescent="0.25">
      <c r="A1201" s="631">
        <v>3890000</v>
      </c>
      <c r="B1201" s="632" t="s">
        <v>1242</v>
      </c>
      <c r="C1201" s="632">
        <v>74</v>
      </c>
    </row>
    <row r="1202" spans="1:3" x14ac:dyDescent="0.25">
      <c r="A1202" s="631">
        <v>3893502</v>
      </c>
      <c r="B1202" s="632" t="s">
        <v>1243</v>
      </c>
      <c r="C1202" s="632">
        <v>29</v>
      </c>
    </row>
    <row r="1203" spans="1:3" x14ac:dyDescent="0.25">
      <c r="A1203" s="631">
        <v>3893511</v>
      </c>
      <c r="B1203" s="632" t="s">
        <v>1244</v>
      </c>
      <c r="C1203" s="632">
        <v>60</v>
      </c>
    </row>
    <row r="1204" spans="1:3" x14ac:dyDescent="0.25">
      <c r="A1204" s="631">
        <v>3893512</v>
      </c>
      <c r="B1204" s="632" t="s">
        <v>1245</v>
      </c>
      <c r="C1204" s="632">
        <v>60</v>
      </c>
    </row>
    <row r="1205" spans="1:3" x14ac:dyDescent="0.25">
      <c r="A1205" s="631">
        <v>3893513</v>
      </c>
      <c r="B1205" s="632" t="s">
        <v>1246</v>
      </c>
      <c r="C1205" s="632">
        <v>60</v>
      </c>
    </row>
    <row r="1206" spans="1:3" x14ac:dyDescent="0.25">
      <c r="A1206" s="631">
        <v>3893514</v>
      </c>
      <c r="B1206" s="632" t="s">
        <v>1247</v>
      </c>
      <c r="C1206" s="632">
        <v>60</v>
      </c>
    </row>
    <row r="1207" spans="1:3" x14ac:dyDescent="0.25">
      <c r="A1207" s="631">
        <v>4002110</v>
      </c>
      <c r="B1207" s="632" t="s">
        <v>1248</v>
      </c>
      <c r="C1207" s="632">
        <v>862</v>
      </c>
    </row>
    <row r="1208" spans="1:3" x14ac:dyDescent="0.25">
      <c r="A1208" s="631">
        <v>4004041</v>
      </c>
      <c r="B1208" s="632" t="s">
        <v>1249</v>
      </c>
      <c r="C1208" s="632">
        <v>4721</v>
      </c>
    </row>
    <row r="1209" spans="1:3" x14ac:dyDescent="0.25">
      <c r="A1209" s="631">
        <v>4004042</v>
      </c>
      <c r="B1209" s="632" t="s">
        <v>1249</v>
      </c>
      <c r="C1209" s="632">
        <v>4721</v>
      </c>
    </row>
    <row r="1210" spans="1:3" x14ac:dyDescent="0.25">
      <c r="A1210" s="631">
        <v>4101004</v>
      </c>
      <c r="B1210" s="632" t="s">
        <v>1250</v>
      </c>
      <c r="C1210" s="632">
        <v>47</v>
      </c>
    </row>
    <row r="1211" spans="1:3" x14ac:dyDescent="0.25">
      <c r="A1211" s="631">
        <v>4101005</v>
      </c>
      <c r="B1211" s="632" t="s">
        <v>1251</v>
      </c>
      <c r="C1211" s="632">
        <v>47</v>
      </c>
    </row>
    <row r="1212" spans="1:3" x14ac:dyDescent="0.25">
      <c r="A1212" s="631">
        <v>4101006</v>
      </c>
      <c r="B1212" s="632" t="s">
        <v>1252</v>
      </c>
      <c r="C1212" s="632">
        <v>52</v>
      </c>
    </row>
    <row r="1213" spans="1:3" x14ac:dyDescent="0.25">
      <c r="A1213" s="631">
        <v>4101024</v>
      </c>
      <c r="B1213" s="632" t="s">
        <v>1253</v>
      </c>
      <c r="C1213" s="632">
        <v>618</v>
      </c>
    </row>
    <row r="1214" spans="1:3" x14ac:dyDescent="0.25">
      <c r="A1214" s="631">
        <v>4101027</v>
      </c>
      <c r="B1214" s="632" t="s">
        <v>1254</v>
      </c>
      <c r="C1214" s="632">
        <v>618</v>
      </c>
    </row>
    <row r="1215" spans="1:3" x14ac:dyDescent="0.25">
      <c r="A1215" s="631">
        <v>4101030</v>
      </c>
      <c r="B1215" s="632" t="s">
        <v>1255</v>
      </c>
      <c r="C1215" s="632">
        <v>618</v>
      </c>
    </row>
    <row r="1216" spans="1:3" x14ac:dyDescent="0.25">
      <c r="A1216" s="631">
        <v>4101033</v>
      </c>
      <c r="B1216" s="632" t="s">
        <v>1256</v>
      </c>
      <c r="C1216" s="632">
        <v>618</v>
      </c>
    </row>
    <row r="1217" spans="1:3" x14ac:dyDescent="0.25">
      <c r="A1217" s="631">
        <v>4101036</v>
      </c>
      <c r="B1217" s="632" t="s">
        <v>1257</v>
      </c>
      <c r="C1217" s="632">
        <v>618</v>
      </c>
    </row>
    <row r="1218" spans="1:3" x14ac:dyDescent="0.25">
      <c r="A1218" s="631">
        <v>4101039</v>
      </c>
      <c r="B1218" s="632" t="s">
        <v>1258</v>
      </c>
      <c r="C1218" s="632">
        <v>618</v>
      </c>
    </row>
    <row r="1219" spans="1:3" x14ac:dyDescent="0.25">
      <c r="A1219" s="631">
        <v>4101042</v>
      </c>
      <c r="B1219" s="632" t="s">
        <v>1259</v>
      </c>
      <c r="C1219" s="632">
        <v>618</v>
      </c>
    </row>
    <row r="1220" spans="1:3" x14ac:dyDescent="0.25">
      <c r="A1220" s="631">
        <v>4101045</v>
      </c>
      <c r="B1220" s="632" t="s">
        <v>1260</v>
      </c>
      <c r="C1220" s="632">
        <v>618</v>
      </c>
    </row>
    <row r="1221" spans="1:3" x14ac:dyDescent="0.25">
      <c r="A1221" s="631">
        <v>4101050</v>
      </c>
      <c r="B1221" s="632" t="s">
        <v>1261</v>
      </c>
      <c r="C1221" s="632">
        <v>618</v>
      </c>
    </row>
    <row r="1222" spans="1:3" x14ac:dyDescent="0.25">
      <c r="A1222" s="631">
        <v>4200010</v>
      </c>
      <c r="B1222" s="632" t="s">
        <v>1262</v>
      </c>
      <c r="C1222" s="632">
        <v>609</v>
      </c>
    </row>
    <row r="1223" spans="1:3" x14ac:dyDescent="0.25">
      <c r="A1223" s="631">
        <v>4200011</v>
      </c>
      <c r="B1223" s="632" t="s">
        <v>1263</v>
      </c>
      <c r="C1223" s="632">
        <v>304</v>
      </c>
    </row>
    <row r="1224" spans="1:3" x14ac:dyDescent="0.25">
      <c r="A1224" s="631">
        <v>4220020</v>
      </c>
      <c r="B1224" s="632" t="s">
        <v>1264</v>
      </c>
      <c r="C1224" s="632">
        <v>1361</v>
      </c>
    </row>
    <row r="1225" spans="1:3" x14ac:dyDescent="0.25">
      <c r="A1225" s="631">
        <v>4220101</v>
      </c>
      <c r="B1225" s="632" t="s">
        <v>1265</v>
      </c>
      <c r="C1225" s="632">
        <v>202</v>
      </c>
    </row>
    <row r="1226" spans="1:3" x14ac:dyDescent="0.25">
      <c r="A1226" s="631">
        <v>4220102</v>
      </c>
      <c r="B1226" s="632" t="s">
        <v>1266</v>
      </c>
      <c r="C1226" s="632">
        <v>183</v>
      </c>
    </row>
    <row r="1227" spans="1:3" x14ac:dyDescent="0.25">
      <c r="A1227" s="631">
        <v>4220103</v>
      </c>
      <c r="B1227" s="632" t="s">
        <v>1267</v>
      </c>
      <c r="C1227" s="632">
        <v>207</v>
      </c>
    </row>
    <row r="1228" spans="1:3" x14ac:dyDescent="0.25">
      <c r="A1228" s="631">
        <v>4220104</v>
      </c>
      <c r="B1228" s="632" t="s">
        <v>1268</v>
      </c>
      <c r="C1228" s="632">
        <v>207</v>
      </c>
    </row>
    <row r="1229" spans="1:3" x14ac:dyDescent="0.25">
      <c r="A1229" s="631">
        <v>4220105</v>
      </c>
      <c r="B1229" s="632" t="s">
        <v>1269</v>
      </c>
      <c r="C1229" s="632">
        <v>207</v>
      </c>
    </row>
    <row r="1230" spans="1:3" x14ac:dyDescent="0.25">
      <c r="A1230" s="631">
        <v>4220106</v>
      </c>
      <c r="B1230" s="632" t="s">
        <v>1270</v>
      </c>
      <c r="C1230" s="632">
        <v>207</v>
      </c>
    </row>
    <row r="1231" spans="1:3" x14ac:dyDescent="0.25">
      <c r="A1231" s="631">
        <v>4220107</v>
      </c>
      <c r="B1231" s="632" t="s">
        <v>1271</v>
      </c>
      <c r="C1231" s="632">
        <v>207</v>
      </c>
    </row>
    <row r="1232" spans="1:3" x14ac:dyDescent="0.25">
      <c r="A1232" s="631">
        <v>4220108</v>
      </c>
      <c r="B1232" s="632" t="s">
        <v>1272</v>
      </c>
      <c r="C1232" s="632">
        <v>207</v>
      </c>
    </row>
    <row r="1233" spans="1:3" x14ac:dyDescent="0.25">
      <c r="A1233" s="631">
        <v>4220109</v>
      </c>
      <c r="B1233" s="632" t="s">
        <v>1273</v>
      </c>
      <c r="C1233" s="632">
        <v>183</v>
      </c>
    </row>
    <row r="1234" spans="1:3" x14ac:dyDescent="0.25">
      <c r="A1234" s="631">
        <v>4220305</v>
      </c>
      <c r="B1234" s="632" t="s">
        <v>1274</v>
      </c>
      <c r="C1234" s="632">
        <v>40</v>
      </c>
    </row>
    <row r="1235" spans="1:3" x14ac:dyDescent="0.25">
      <c r="A1235" s="631">
        <v>4233000</v>
      </c>
      <c r="B1235" s="632" t="s">
        <v>1275</v>
      </c>
      <c r="C1235" s="632">
        <v>2184</v>
      </c>
    </row>
    <row r="1236" spans="1:3" x14ac:dyDescent="0.25">
      <c r="A1236" s="631">
        <v>4233001</v>
      </c>
      <c r="B1236" s="632" t="s">
        <v>1276</v>
      </c>
      <c r="C1236" s="632">
        <v>2080</v>
      </c>
    </row>
    <row r="1237" spans="1:3" x14ac:dyDescent="0.25">
      <c r="A1237" s="631">
        <v>4233028</v>
      </c>
      <c r="B1237" s="632" t="s">
        <v>1277</v>
      </c>
      <c r="C1237" s="632">
        <v>180</v>
      </c>
    </row>
    <row r="1238" spans="1:3" x14ac:dyDescent="0.25">
      <c r="A1238" s="631">
        <v>4233054</v>
      </c>
      <c r="B1238" s="632" t="s">
        <v>1278</v>
      </c>
      <c r="C1238" s="632">
        <v>122</v>
      </c>
    </row>
    <row r="1239" spans="1:3" x14ac:dyDescent="0.25">
      <c r="A1239" s="631">
        <v>4233101</v>
      </c>
      <c r="B1239" s="632" t="s">
        <v>1279</v>
      </c>
      <c r="C1239" s="632">
        <v>71</v>
      </c>
    </row>
    <row r="1240" spans="1:3" x14ac:dyDescent="0.25">
      <c r="A1240" s="631">
        <v>4233106</v>
      </c>
      <c r="B1240" s="632" t="s">
        <v>1280</v>
      </c>
      <c r="C1240" s="632">
        <v>350</v>
      </c>
    </row>
    <row r="1241" spans="1:3" x14ac:dyDescent="0.25">
      <c r="A1241" s="631">
        <v>4234005</v>
      </c>
      <c r="B1241" s="632" t="s">
        <v>1281</v>
      </c>
      <c r="C1241" s="632">
        <v>125</v>
      </c>
    </row>
    <row r="1242" spans="1:3" x14ac:dyDescent="0.25">
      <c r="A1242" s="631">
        <v>4234012</v>
      </c>
      <c r="B1242" s="632" t="s">
        <v>1282</v>
      </c>
      <c r="C1242" s="632">
        <v>98</v>
      </c>
    </row>
    <row r="1243" spans="1:3" x14ac:dyDescent="0.25">
      <c r="A1243" s="631">
        <v>4234013</v>
      </c>
      <c r="B1243" s="632" t="s">
        <v>1283</v>
      </c>
      <c r="C1243" s="632">
        <v>98</v>
      </c>
    </row>
    <row r="1244" spans="1:3" x14ac:dyDescent="0.25">
      <c r="A1244" s="631">
        <v>4234014</v>
      </c>
      <c r="B1244" s="632" t="s">
        <v>1284</v>
      </c>
      <c r="C1244" s="632">
        <v>98</v>
      </c>
    </row>
    <row r="1245" spans="1:3" x14ac:dyDescent="0.25">
      <c r="A1245" s="631">
        <v>4234015</v>
      </c>
      <c r="B1245" s="632" t="s">
        <v>1285</v>
      </c>
      <c r="C1245" s="632">
        <v>98</v>
      </c>
    </row>
    <row r="1246" spans="1:3" x14ac:dyDescent="0.25">
      <c r="A1246" s="631">
        <v>4234016</v>
      </c>
      <c r="B1246" s="632" t="s">
        <v>1286</v>
      </c>
      <c r="C1246" s="632">
        <v>707</v>
      </c>
    </row>
    <row r="1247" spans="1:3" x14ac:dyDescent="0.25">
      <c r="A1247" s="631">
        <v>4234017</v>
      </c>
      <c r="B1247" s="632" t="s">
        <v>1287</v>
      </c>
      <c r="C1247" s="632">
        <v>707</v>
      </c>
    </row>
    <row r="1248" spans="1:3" x14ac:dyDescent="0.25">
      <c r="A1248" s="631">
        <v>4234021</v>
      </c>
      <c r="B1248" s="632" t="s">
        <v>1288</v>
      </c>
      <c r="C1248" s="632">
        <v>134</v>
      </c>
    </row>
    <row r="1249" spans="1:3" x14ac:dyDescent="0.25">
      <c r="A1249" s="631">
        <v>4234027</v>
      </c>
      <c r="B1249" s="632" t="s">
        <v>1289</v>
      </c>
      <c r="C1249" s="632">
        <v>118</v>
      </c>
    </row>
    <row r="1250" spans="1:3" x14ac:dyDescent="0.25">
      <c r="A1250" s="631">
        <v>4234028</v>
      </c>
      <c r="B1250" s="632" t="s">
        <v>1290</v>
      </c>
      <c r="C1250" s="632">
        <v>118</v>
      </c>
    </row>
    <row r="1251" spans="1:3" x14ac:dyDescent="0.25">
      <c r="A1251" s="631">
        <v>4234029</v>
      </c>
      <c r="B1251" s="632" t="s">
        <v>1291</v>
      </c>
      <c r="C1251" s="632">
        <v>234</v>
      </c>
    </row>
    <row r="1252" spans="1:3" x14ac:dyDescent="0.25">
      <c r="A1252" s="631">
        <v>4234030</v>
      </c>
      <c r="B1252" s="632" t="s">
        <v>1292</v>
      </c>
      <c r="C1252" s="632">
        <v>234</v>
      </c>
    </row>
    <row r="1253" spans="1:3" x14ac:dyDescent="0.25">
      <c r="A1253" s="631">
        <v>4234031</v>
      </c>
      <c r="B1253" s="632" t="s">
        <v>1293</v>
      </c>
      <c r="C1253" s="632">
        <v>234</v>
      </c>
    </row>
    <row r="1254" spans="1:3" x14ac:dyDescent="0.25">
      <c r="A1254" s="631">
        <v>4234032</v>
      </c>
      <c r="B1254" s="632" t="s">
        <v>1294</v>
      </c>
      <c r="C1254" s="632">
        <v>234</v>
      </c>
    </row>
    <row r="1255" spans="1:3" x14ac:dyDescent="0.25">
      <c r="A1255" s="631">
        <v>4234041</v>
      </c>
      <c r="B1255" s="632" t="s">
        <v>1295</v>
      </c>
      <c r="C1255" s="632">
        <v>256</v>
      </c>
    </row>
    <row r="1256" spans="1:3" x14ac:dyDescent="0.25">
      <c r="A1256" s="631">
        <v>4234042</v>
      </c>
      <c r="B1256" s="632" t="s">
        <v>1296</v>
      </c>
      <c r="C1256" s="632">
        <v>256</v>
      </c>
    </row>
    <row r="1257" spans="1:3" x14ac:dyDescent="0.25">
      <c r="A1257" s="631">
        <v>4234124</v>
      </c>
      <c r="B1257" s="632" t="s">
        <v>1297</v>
      </c>
      <c r="C1257" s="632">
        <v>1802</v>
      </c>
    </row>
    <row r="1258" spans="1:3" x14ac:dyDescent="0.25">
      <c r="A1258" s="631">
        <v>4234127</v>
      </c>
      <c r="B1258" s="632" t="s">
        <v>1298</v>
      </c>
      <c r="C1258" s="632">
        <v>1802</v>
      </c>
    </row>
    <row r="1259" spans="1:3" x14ac:dyDescent="0.25">
      <c r="A1259" s="631">
        <v>4234130</v>
      </c>
      <c r="B1259" s="632" t="s">
        <v>1299</v>
      </c>
      <c r="C1259" s="632">
        <v>1802</v>
      </c>
    </row>
    <row r="1260" spans="1:3" x14ac:dyDescent="0.25">
      <c r="A1260" s="631">
        <v>4234133</v>
      </c>
      <c r="B1260" s="632" t="s">
        <v>1300</v>
      </c>
      <c r="C1260" s="632">
        <v>1802</v>
      </c>
    </row>
    <row r="1261" spans="1:3" x14ac:dyDescent="0.25">
      <c r="A1261" s="631">
        <v>4234224</v>
      </c>
      <c r="B1261" s="632" t="s">
        <v>4314</v>
      </c>
      <c r="C1261" s="632">
        <v>437</v>
      </c>
    </row>
    <row r="1262" spans="1:3" x14ac:dyDescent="0.25">
      <c r="A1262" s="631">
        <v>4234227</v>
      </c>
      <c r="B1262" s="632" t="s">
        <v>1301</v>
      </c>
      <c r="C1262" s="632">
        <v>437</v>
      </c>
    </row>
    <row r="1263" spans="1:3" x14ac:dyDescent="0.25">
      <c r="A1263" s="631">
        <v>4234230</v>
      </c>
      <c r="B1263" s="632" t="s">
        <v>1302</v>
      </c>
      <c r="C1263" s="632">
        <v>437</v>
      </c>
    </row>
    <row r="1264" spans="1:3" x14ac:dyDescent="0.25">
      <c r="A1264" s="631">
        <v>4234233</v>
      </c>
      <c r="B1264" s="632" t="s">
        <v>1303</v>
      </c>
      <c r="C1264" s="632">
        <v>437</v>
      </c>
    </row>
    <row r="1265" spans="1:3" x14ac:dyDescent="0.25">
      <c r="A1265" s="631">
        <v>4234324</v>
      </c>
      <c r="B1265" s="632" t="s">
        <v>1304</v>
      </c>
      <c r="C1265" s="632">
        <v>1248</v>
      </c>
    </row>
    <row r="1266" spans="1:3" x14ac:dyDescent="0.25">
      <c r="A1266" s="631">
        <v>4234327</v>
      </c>
      <c r="B1266" s="632" t="s">
        <v>1305</v>
      </c>
      <c r="C1266" s="632">
        <v>1248</v>
      </c>
    </row>
    <row r="1267" spans="1:3" x14ac:dyDescent="0.25">
      <c r="A1267" s="631">
        <v>4234330</v>
      </c>
      <c r="B1267" s="632" t="s">
        <v>1306</v>
      </c>
      <c r="C1267" s="632">
        <v>1248</v>
      </c>
    </row>
    <row r="1268" spans="1:3" x14ac:dyDescent="0.25">
      <c r="A1268" s="631">
        <v>4234333</v>
      </c>
      <c r="B1268" s="632" t="s">
        <v>1307</v>
      </c>
      <c r="C1268" s="632">
        <v>1248</v>
      </c>
    </row>
    <row r="1269" spans="1:3" x14ac:dyDescent="0.25">
      <c r="A1269" s="631">
        <v>4235000</v>
      </c>
      <c r="B1269" s="632" t="s">
        <v>1308</v>
      </c>
      <c r="C1269" s="632">
        <v>1619</v>
      </c>
    </row>
    <row r="1270" spans="1:3" x14ac:dyDescent="0.25">
      <c r="A1270" s="631">
        <v>4235001</v>
      </c>
      <c r="B1270" s="632" t="s">
        <v>1309</v>
      </c>
      <c r="C1270" s="632">
        <v>367</v>
      </c>
    </row>
    <row r="1271" spans="1:3" x14ac:dyDescent="0.25">
      <c r="A1271" s="631">
        <v>4235002</v>
      </c>
      <c r="B1271" s="632" t="s">
        <v>1310</v>
      </c>
      <c r="C1271" s="632">
        <v>367</v>
      </c>
    </row>
    <row r="1272" spans="1:3" x14ac:dyDescent="0.25">
      <c r="A1272" s="631">
        <v>4235003</v>
      </c>
      <c r="B1272" s="632" t="s">
        <v>1311</v>
      </c>
      <c r="C1272" s="632">
        <v>307</v>
      </c>
    </row>
    <row r="1273" spans="1:3" x14ac:dyDescent="0.25">
      <c r="A1273" s="631">
        <v>4235004</v>
      </c>
      <c r="B1273" s="632" t="s">
        <v>1312</v>
      </c>
      <c r="C1273" s="632">
        <v>307</v>
      </c>
    </row>
    <row r="1274" spans="1:3" x14ac:dyDescent="0.25">
      <c r="A1274" s="631">
        <v>4235005</v>
      </c>
      <c r="B1274" s="632" t="s">
        <v>1313</v>
      </c>
      <c r="C1274" s="632">
        <v>860</v>
      </c>
    </row>
    <row r="1275" spans="1:3" x14ac:dyDescent="0.25">
      <c r="A1275" s="631">
        <v>4235006</v>
      </c>
      <c r="B1275" s="632" t="s">
        <v>1314</v>
      </c>
      <c r="C1275" s="632">
        <v>860</v>
      </c>
    </row>
    <row r="1276" spans="1:3" x14ac:dyDescent="0.25">
      <c r="A1276" s="631">
        <v>4235010</v>
      </c>
      <c r="B1276" s="632" t="s">
        <v>1315</v>
      </c>
      <c r="C1276" s="632">
        <v>1619</v>
      </c>
    </row>
    <row r="1277" spans="1:3" x14ac:dyDescent="0.25">
      <c r="A1277" s="631">
        <v>4235013</v>
      </c>
      <c r="B1277" s="632" t="s">
        <v>1316</v>
      </c>
      <c r="C1277" s="632">
        <v>32</v>
      </c>
    </row>
    <row r="1278" spans="1:3" x14ac:dyDescent="0.25">
      <c r="A1278" s="631">
        <v>4235014</v>
      </c>
      <c r="B1278" s="632" t="s">
        <v>1317</v>
      </c>
      <c r="C1278" s="632">
        <v>32</v>
      </c>
    </row>
    <row r="1279" spans="1:3" x14ac:dyDescent="0.25">
      <c r="A1279" s="631">
        <v>4235020</v>
      </c>
      <c r="B1279" s="632" t="s">
        <v>1318</v>
      </c>
      <c r="C1279" s="632">
        <v>546</v>
      </c>
    </row>
    <row r="1280" spans="1:3" x14ac:dyDescent="0.25">
      <c r="A1280" s="631">
        <v>4235021</v>
      </c>
      <c r="B1280" s="632" t="s">
        <v>1319</v>
      </c>
      <c r="C1280" s="632">
        <v>273</v>
      </c>
    </row>
    <row r="1281" spans="1:3" x14ac:dyDescent="0.25">
      <c r="A1281" s="631">
        <v>4235022</v>
      </c>
      <c r="B1281" s="632" t="s">
        <v>1320</v>
      </c>
      <c r="C1281" s="632">
        <v>273</v>
      </c>
    </row>
    <row r="1282" spans="1:3" x14ac:dyDescent="0.25">
      <c r="A1282" s="631">
        <v>4235023</v>
      </c>
      <c r="B1282" s="632" t="s">
        <v>1321</v>
      </c>
      <c r="C1282" s="632">
        <v>10</v>
      </c>
    </row>
    <row r="1283" spans="1:3" x14ac:dyDescent="0.25">
      <c r="A1283" s="631">
        <v>4235024</v>
      </c>
      <c r="B1283" s="632" t="s">
        <v>1322</v>
      </c>
      <c r="C1283" s="632">
        <v>10</v>
      </c>
    </row>
    <row r="1284" spans="1:3" x14ac:dyDescent="0.25">
      <c r="A1284" s="631">
        <v>4235030</v>
      </c>
      <c r="B1284" s="632" t="s">
        <v>1323</v>
      </c>
      <c r="C1284" s="632">
        <v>41</v>
      </c>
    </row>
    <row r="1285" spans="1:3" x14ac:dyDescent="0.25">
      <c r="A1285" s="631">
        <v>4236000</v>
      </c>
      <c r="B1285" s="632" t="s">
        <v>1324</v>
      </c>
      <c r="C1285" s="632">
        <v>1353</v>
      </c>
    </row>
    <row r="1286" spans="1:3" x14ac:dyDescent="0.25">
      <c r="A1286" s="631">
        <v>4236010</v>
      </c>
      <c r="B1286" s="632" t="s">
        <v>1325</v>
      </c>
      <c r="C1286" s="632">
        <v>749</v>
      </c>
    </row>
    <row r="1287" spans="1:3" x14ac:dyDescent="0.25">
      <c r="A1287" s="631">
        <v>4236022</v>
      </c>
      <c r="B1287" s="632" t="s">
        <v>1326</v>
      </c>
      <c r="C1287" s="632">
        <v>32</v>
      </c>
    </row>
    <row r="1288" spans="1:3" x14ac:dyDescent="0.25">
      <c r="A1288" s="631">
        <v>4236024</v>
      </c>
      <c r="B1288" s="632" t="s">
        <v>1327</v>
      </c>
      <c r="C1288" s="632">
        <v>36</v>
      </c>
    </row>
    <row r="1289" spans="1:3" x14ac:dyDescent="0.25">
      <c r="A1289" s="631">
        <v>4236025</v>
      </c>
      <c r="B1289" s="632" t="s">
        <v>1328</v>
      </c>
      <c r="C1289" s="632">
        <v>36</v>
      </c>
    </row>
    <row r="1290" spans="1:3" x14ac:dyDescent="0.25">
      <c r="A1290" s="631" t="s">
        <v>1329</v>
      </c>
      <c r="B1290" s="632" t="s">
        <v>1330</v>
      </c>
      <c r="C1290" s="632">
        <v>1361</v>
      </c>
    </row>
    <row r="1291" spans="1:3" x14ac:dyDescent="0.25">
      <c r="A1291" s="631" t="s">
        <v>1331</v>
      </c>
      <c r="B1291" s="632" t="s">
        <v>1332</v>
      </c>
      <c r="C1291" s="632">
        <v>1361</v>
      </c>
    </row>
    <row r="1292" spans="1:3" x14ac:dyDescent="0.25">
      <c r="A1292" s="631" t="s">
        <v>1333</v>
      </c>
      <c r="B1292" s="632" t="s">
        <v>1334</v>
      </c>
      <c r="C1292" s="632">
        <v>1361</v>
      </c>
    </row>
    <row r="1293" spans="1:3" x14ac:dyDescent="0.25">
      <c r="A1293" s="631" t="s">
        <v>1335</v>
      </c>
      <c r="B1293" s="632" t="s">
        <v>1336</v>
      </c>
      <c r="C1293" s="632">
        <v>1361</v>
      </c>
    </row>
    <row r="1294" spans="1:3" x14ac:dyDescent="0.25">
      <c r="A1294" s="631" t="s">
        <v>1337</v>
      </c>
      <c r="B1294" s="632" t="s">
        <v>1338</v>
      </c>
      <c r="C1294" s="632">
        <v>1361</v>
      </c>
    </row>
    <row r="1295" spans="1:3" x14ac:dyDescent="0.25">
      <c r="A1295" s="631" t="s">
        <v>1339</v>
      </c>
      <c r="B1295" s="632" t="s">
        <v>1340</v>
      </c>
      <c r="C1295" s="632">
        <v>1361</v>
      </c>
    </row>
    <row r="1296" spans="1:3" x14ac:dyDescent="0.25">
      <c r="A1296" s="631" t="s">
        <v>1341</v>
      </c>
      <c r="B1296" s="632" t="s">
        <v>1342</v>
      </c>
      <c r="C1296" s="632">
        <v>1361</v>
      </c>
    </row>
    <row r="1297" spans="1:3" x14ac:dyDescent="0.25">
      <c r="A1297" s="631" t="s">
        <v>1343</v>
      </c>
      <c r="B1297" s="632" t="s">
        <v>1344</v>
      </c>
      <c r="C1297" s="632">
        <v>1361</v>
      </c>
    </row>
    <row r="1298" spans="1:3" x14ac:dyDescent="0.25">
      <c r="A1298" s="631" t="s">
        <v>1345</v>
      </c>
      <c r="B1298" s="632" t="s">
        <v>1346</v>
      </c>
      <c r="C1298" s="632">
        <v>1269</v>
      </c>
    </row>
    <row r="1299" spans="1:3" x14ac:dyDescent="0.25">
      <c r="A1299" s="631" t="s">
        <v>1347</v>
      </c>
      <c r="B1299" s="632" t="s">
        <v>1348</v>
      </c>
      <c r="C1299" s="632">
        <v>1269</v>
      </c>
    </row>
    <row r="1300" spans="1:3" x14ac:dyDescent="0.25">
      <c r="A1300" s="631" t="s">
        <v>1349</v>
      </c>
      <c r="B1300" s="632" t="s">
        <v>1350</v>
      </c>
      <c r="C1300" s="632">
        <v>1269</v>
      </c>
    </row>
    <row r="1301" spans="1:3" x14ac:dyDescent="0.25">
      <c r="A1301" s="631" t="s">
        <v>1351</v>
      </c>
      <c r="B1301" s="632" t="s">
        <v>1352</v>
      </c>
      <c r="C1301" s="632">
        <v>1269</v>
      </c>
    </row>
    <row r="1302" spans="1:3" x14ac:dyDescent="0.25">
      <c r="A1302" s="631" t="s">
        <v>1353</v>
      </c>
      <c r="B1302" s="632" t="s">
        <v>1354</v>
      </c>
      <c r="C1302" s="632">
        <v>1269</v>
      </c>
    </row>
    <row r="1303" spans="1:3" x14ac:dyDescent="0.25">
      <c r="A1303" s="631" t="s">
        <v>1355</v>
      </c>
      <c r="B1303" s="632" t="s">
        <v>1356</v>
      </c>
      <c r="C1303" s="632">
        <v>1269</v>
      </c>
    </row>
    <row r="1304" spans="1:3" x14ac:dyDescent="0.25">
      <c r="A1304" s="631" t="s">
        <v>1357</v>
      </c>
      <c r="B1304" s="632" t="s">
        <v>1358</v>
      </c>
      <c r="C1304" s="632">
        <v>1269</v>
      </c>
    </row>
    <row r="1305" spans="1:3" x14ac:dyDescent="0.25">
      <c r="A1305" s="631" t="s">
        <v>1359</v>
      </c>
      <c r="B1305" s="632" t="s">
        <v>1360</v>
      </c>
      <c r="C1305" s="632">
        <v>1269</v>
      </c>
    </row>
    <row r="1306" spans="1:3" x14ac:dyDescent="0.25">
      <c r="A1306" s="631">
        <v>4240227</v>
      </c>
      <c r="B1306" s="632" t="s">
        <v>1361</v>
      </c>
      <c r="C1306" s="632">
        <v>1024</v>
      </c>
    </row>
    <row r="1307" spans="1:3" x14ac:dyDescent="0.25">
      <c r="A1307" s="631">
        <v>4240230</v>
      </c>
      <c r="B1307" s="632" t="s">
        <v>1362</v>
      </c>
      <c r="C1307" s="632">
        <v>937</v>
      </c>
    </row>
    <row r="1308" spans="1:3" x14ac:dyDescent="0.25">
      <c r="A1308" s="631">
        <v>4240233</v>
      </c>
      <c r="B1308" s="632" t="s">
        <v>1363</v>
      </c>
      <c r="C1308" s="632">
        <v>937</v>
      </c>
    </row>
    <row r="1309" spans="1:3" x14ac:dyDescent="0.25">
      <c r="A1309" s="631">
        <v>4240236</v>
      </c>
      <c r="B1309" s="632" t="s">
        <v>1364</v>
      </c>
      <c r="C1309" s="632">
        <v>937</v>
      </c>
    </row>
    <row r="1310" spans="1:3" x14ac:dyDescent="0.25">
      <c r="A1310" s="631">
        <v>4240239</v>
      </c>
      <c r="B1310" s="632" t="s">
        <v>1365</v>
      </c>
      <c r="C1310" s="632">
        <v>937</v>
      </c>
    </row>
    <row r="1311" spans="1:3" x14ac:dyDescent="0.25">
      <c r="A1311" s="631">
        <v>4240242</v>
      </c>
      <c r="B1311" s="632" t="s">
        <v>1366</v>
      </c>
      <c r="C1311" s="632">
        <v>937</v>
      </c>
    </row>
    <row r="1312" spans="1:3" x14ac:dyDescent="0.25">
      <c r="A1312" s="631">
        <v>4240245</v>
      </c>
      <c r="B1312" s="632" t="s">
        <v>1367</v>
      </c>
      <c r="C1312" s="632">
        <v>937</v>
      </c>
    </row>
    <row r="1313" spans="1:3" x14ac:dyDescent="0.25">
      <c r="A1313" s="631">
        <v>4240250</v>
      </c>
      <c r="B1313" s="632" t="s">
        <v>1368</v>
      </c>
      <c r="C1313" s="632">
        <v>1024</v>
      </c>
    </row>
    <row r="1314" spans="1:3" x14ac:dyDescent="0.25">
      <c r="A1314" s="631">
        <v>4240324</v>
      </c>
      <c r="B1314" s="632" t="s">
        <v>1369</v>
      </c>
      <c r="C1314" s="632">
        <v>352</v>
      </c>
    </row>
    <row r="1315" spans="1:3" x14ac:dyDescent="0.25">
      <c r="A1315" s="631">
        <v>4240327</v>
      </c>
      <c r="B1315" s="632" t="s">
        <v>1370</v>
      </c>
      <c r="C1315" s="632">
        <v>352</v>
      </c>
    </row>
    <row r="1316" spans="1:3" x14ac:dyDescent="0.25">
      <c r="A1316" s="631">
        <v>4240330</v>
      </c>
      <c r="B1316" s="632" t="s">
        <v>1371</v>
      </c>
      <c r="C1316" s="632">
        <v>352</v>
      </c>
    </row>
    <row r="1317" spans="1:3" x14ac:dyDescent="0.25">
      <c r="A1317" s="631">
        <v>4240333</v>
      </c>
      <c r="B1317" s="632" t="s">
        <v>1372</v>
      </c>
      <c r="C1317" s="632">
        <v>352</v>
      </c>
    </row>
    <row r="1318" spans="1:3" x14ac:dyDescent="0.25">
      <c r="A1318" s="631">
        <v>4240336</v>
      </c>
      <c r="B1318" s="632" t="s">
        <v>724</v>
      </c>
      <c r="C1318" s="632">
        <v>352</v>
      </c>
    </row>
    <row r="1319" spans="1:3" x14ac:dyDescent="0.25">
      <c r="A1319" s="631">
        <v>4240342</v>
      </c>
      <c r="B1319" s="632" t="s">
        <v>1373</v>
      </c>
      <c r="C1319" s="632">
        <v>352</v>
      </c>
    </row>
    <row r="1320" spans="1:3" x14ac:dyDescent="0.25">
      <c r="A1320" s="631">
        <v>4240345</v>
      </c>
      <c r="B1320" s="632" t="s">
        <v>1374</v>
      </c>
      <c r="C1320" s="632">
        <v>384</v>
      </c>
    </row>
    <row r="1321" spans="1:3" x14ac:dyDescent="0.25">
      <c r="A1321" s="631">
        <v>4240350</v>
      </c>
      <c r="B1321" s="632" t="s">
        <v>1375</v>
      </c>
      <c r="C1321" s="632">
        <v>352</v>
      </c>
    </row>
    <row r="1322" spans="1:3" x14ac:dyDescent="0.25">
      <c r="A1322" s="631">
        <v>4240427</v>
      </c>
      <c r="B1322" s="632" t="s">
        <v>1376</v>
      </c>
      <c r="C1322" s="632">
        <v>458</v>
      </c>
    </row>
    <row r="1323" spans="1:3" x14ac:dyDescent="0.25">
      <c r="A1323" s="631">
        <v>4240527</v>
      </c>
      <c r="B1323" s="632" t="s">
        <v>1377</v>
      </c>
      <c r="C1323" s="632">
        <v>832</v>
      </c>
    </row>
    <row r="1324" spans="1:3" x14ac:dyDescent="0.25">
      <c r="A1324" s="631">
        <v>4240530</v>
      </c>
      <c r="B1324" s="632" t="s">
        <v>1378</v>
      </c>
      <c r="C1324" s="632">
        <v>832</v>
      </c>
    </row>
    <row r="1325" spans="1:3" x14ac:dyDescent="0.25">
      <c r="A1325" s="631">
        <v>4240533</v>
      </c>
      <c r="B1325" s="632" t="s">
        <v>1379</v>
      </c>
      <c r="C1325" s="632">
        <v>832</v>
      </c>
    </row>
    <row r="1326" spans="1:3" x14ac:dyDescent="0.25">
      <c r="A1326" s="631">
        <v>4240536</v>
      </c>
      <c r="B1326" s="632" t="s">
        <v>1380</v>
      </c>
      <c r="C1326" s="632">
        <v>832</v>
      </c>
    </row>
    <row r="1327" spans="1:3" x14ac:dyDescent="0.25">
      <c r="A1327" s="631">
        <v>4240539</v>
      </c>
      <c r="B1327" s="632" t="s">
        <v>1381</v>
      </c>
      <c r="C1327" s="632">
        <v>832</v>
      </c>
    </row>
    <row r="1328" spans="1:3" x14ac:dyDescent="0.25">
      <c r="A1328" s="631">
        <v>4240542</v>
      </c>
      <c r="B1328" s="632" t="s">
        <v>1382</v>
      </c>
      <c r="C1328" s="632">
        <v>832</v>
      </c>
    </row>
    <row r="1329" spans="1:3" x14ac:dyDescent="0.25">
      <c r="A1329" s="631">
        <v>4240545</v>
      </c>
      <c r="B1329" s="632" t="s">
        <v>1383</v>
      </c>
      <c r="C1329" s="632">
        <v>832</v>
      </c>
    </row>
    <row r="1330" spans="1:3" x14ac:dyDescent="0.25">
      <c r="A1330" s="631">
        <v>4240550</v>
      </c>
      <c r="B1330" s="632" t="s">
        <v>1384</v>
      </c>
      <c r="C1330" s="632">
        <v>832</v>
      </c>
    </row>
    <row r="1331" spans="1:3" x14ac:dyDescent="0.25">
      <c r="A1331" s="631">
        <v>4245000</v>
      </c>
      <c r="B1331" s="632" t="s">
        <v>1385</v>
      </c>
      <c r="C1331" s="632">
        <v>860</v>
      </c>
    </row>
    <row r="1332" spans="1:3" x14ac:dyDescent="0.25">
      <c r="A1332" s="631">
        <v>4245010</v>
      </c>
      <c r="B1332" s="632" t="s">
        <v>1386</v>
      </c>
      <c r="C1332" s="632">
        <v>430</v>
      </c>
    </row>
    <row r="1333" spans="1:3" x14ac:dyDescent="0.25">
      <c r="A1333" s="631">
        <v>4250025</v>
      </c>
      <c r="B1333" s="632" t="s">
        <v>1387</v>
      </c>
      <c r="C1333" s="632">
        <v>252</v>
      </c>
    </row>
    <row r="1334" spans="1:3" x14ac:dyDescent="0.25">
      <c r="A1334" s="631">
        <v>4250030</v>
      </c>
      <c r="B1334" s="632" t="s">
        <v>1388</v>
      </c>
      <c r="C1334" s="632">
        <v>744</v>
      </c>
    </row>
    <row r="1335" spans="1:3" x14ac:dyDescent="0.25">
      <c r="A1335" s="631">
        <v>4250054</v>
      </c>
      <c r="B1335" s="632" t="s">
        <v>1389</v>
      </c>
      <c r="C1335" s="632">
        <v>309</v>
      </c>
    </row>
    <row r="1336" spans="1:3" x14ac:dyDescent="0.25">
      <c r="A1336" s="631">
        <v>4252051</v>
      </c>
      <c r="B1336" s="632" t="s">
        <v>1390</v>
      </c>
      <c r="C1336" s="632">
        <v>234</v>
      </c>
    </row>
    <row r="1337" spans="1:3" x14ac:dyDescent="0.25">
      <c r="A1337" s="631" t="s">
        <v>45</v>
      </c>
      <c r="B1337" s="632" t="s">
        <v>1391</v>
      </c>
      <c r="C1337" s="632">
        <v>1925</v>
      </c>
    </row>
    <row r="1338" spans="1:3" x14ac:dyDescent="0.25">
      <c r="A1338" s="631">
        <v>4252061</v>
      </c>
      <c r="B1338" s="632" t="s">
        <v>1392</v>
      </c>
      <c r="C1338" s="632">
        <v>679</v>
      </c>
    </row>
    <row r="1339" spans="1:3" x14ac:dyDescent="0.25">
      <c r="A1339" s="631">
        <v>4252062</v>
      </c>
      <c r="B1339" s="632" t="s">
        <v>1393</v>
      </c>
      <c r="C1339" s="632">
        <v>679</v>
      </c>
    </row>
    <row r="1340" spans="1:3" x14ac:dyDescent="0.25">
      <c r="A1340" s="631" t="s">
        <v>15</v>
      </c>
      <c r="B1340" s="632" t="s">
        <v>1394</v>
      </c>
      <c r="C1340" s="632">
        <v>1925</v>
      </c>
    </row>
    <row r="1341" spans="1:3" x14ac:dyDescent="0.25">
      <c r="A1341" s="631">
        <v>4252064</v>
      </c>
      <c r="B1341" s="632" t="s">
        <v>1395</v>
      </c>
      <c r="C1341" s="632">
        <v>679</v>
      </c>
    </row>
    <row r="1342" spans="1:3" x14ac:dyDescent="0.25">
      <c r="A1342" s="631">
        <v>4252065</v>
      </c>
      <c r="B1342" s="632" t="s">
        <v>1396</v>
      </c>
      <c r="C1342" s="632">
        <v>679</v>
      </c>
    </row>
    <row r="1343" spans="1:3" x14ac:dyDescent="0.25">
      <c r="A1343" s="631">
        <v>4252067</v>
      </c>
      <c r="B1343" s="632" t="s">
        <v>1397</v>
      </c>
      <c r="C1343" s="632">
        <v>752</v>
      </c>
    </row>
    <row r="1344" spans="1:3" x14ac:dyDescent="0.25">
      <c r="A1344" s="631">
        <v>4252068</v>
      </c>
      <c r="B1344" s="632" t="s">
        <v>1398</v>
      </c>
      <c r="C1344" s="632">
        <v>752</v>
      </c>
    </row>
    <row r="1345" spans="1:3" x14ac:dyDescent="0.25">
      <c r="A1345" s="631">
        <v>4252091</v>
      </c>
      <c r="B1345" s="632" t="s">
        <v>1399</v>
      </c>
      <c r="C1345" s="632">
        <v>12</v>
      </c>
    </row>
    <row r="1346" spans="1:3" x14ac:dyDescent="0.25">
      <c r="A1346" s="631">
        <v>4252092</v>
      </c>
      <c r="B1346" s="632" t="s">
        <v>1400</v>
      </c>
      <c r="C1346" s="632">
        <v>12</v>
      </c>
    </row>
    <row r="1347" spans="1:3" x14ac:dyDescent="0.25">
      <c r="A1347" s="631">
        <v>4252101</v>
      </c>
      <c r="B1347" s="632" t="s">
        <v>1401</v>
      </c>
      <c r="C1347" s="632">
        <v>15</v>
      </c>
    </row>
    <row r="1348" spans="1:3" x14ac:dyDescent="0.25">
      <c r="A1348" s="631">
        <v>4252102</v>
      </c>
      <c r="B1348" s="632" t="s">
        <v>1402</v>
      </c>
      <c r="C1348" s="632">
        <v>15</v>
      </c>
    </row>
    <row r="1349" spans="1:3" x14ac:dyDescent="0.25">
      <c r="A1349" s="631" t="s">
        <v>1403</v>
      </c>
      <c r="B1349" s="632" t="s">
        <v>1404</v>
      </c>
      <c r="C1349" s="632">
        <v>963</v>
      </c>
    </row>
    <row r="1350" spans="1:3" x14ac:dyDescent="0.25">
      <c r="A1350" s="631" t="s">
        <v>1405</v>
      </c>
      <c r="B1350" s="632" t="s">
        <v>1406</v>
      </c>
      <c r="C1350" s="632">
        <v>963</v>
      </c>
    </row>
    <row r="1351" spans="1:3" x14ac:dyDescent="0.25">
      <c r="A1351" s="631" t="s">
        <v>1408</v>
      </c>
      <c r="B1351" s="632" t="s">
        <v>1407</v>
      </c>
      <c r="C1351" s="632">
        <v>1925</v>
      </c>
    </row>
    <row r="1352" spans="1:3" x14ac:dyDescent="0.25">
      <c r="A1352" s="631" t="s">
        <v>1409</v>
      </c>
      <c r="B1352" s="632" t="s">
        <v>1410</v>
      </c>
      <c r="C1352" s="632">
        <v>1925</v>
      </c>
    </row>
    <row r="1353" spans="1:3" x14ac:dyDescent="0.25">
      <c r="A1353" s="631">
        <v>4252167</v>
      </c>
      <c r="B1353" s="632" t="s">
        <v>1411</v>
      </c>
      <c r="C1353" s="632">
        <v>1000</v>
      </c>
    </row>
    <row r="1354" spans="1:3" x14ac:dyDescent="0.25">
      <c r="A1354" s="631">
        <v>4252168</v>
      </c>
      <c r="B1354" s="632" t="s">
        <v>1412</v>
      </c>
      <c r="C1354" s="632">
        <v>1000</v>
      </c>
    </row>
    <row r="1355" spans="1:3" x14ac:dyDescent="0.25">
      <c r="A1355" s="631">
        <v>4252231</v>
      </c>
      <c r="B1355" s="632" t="s">
        <v>1413</v>
      </c>
      <c r="C1355" s="632">
        <v>64</v>
      </c>
    </row>
    <row r="1356" spans="1:3" x14ac:dyDescent="0.25">
      <c r="A1356" s="631">
        <v>4252232</v>
      </c>
      <c r="B1356" s="632" t="s">
        <v>1414</v>
      </c>
      <c r="C1356" s="632">
        <v>64</v>
      </c>
    </row>
    <row r="1357" spans="1:3" x14ac:dyDescent="0.25">
      <c r="A1357" s="631">
        <v>4252253</v>
      </c>
      <c r="B1357" s="632" t="s">
        <v>1415</v>
      </c>
      <c r="C1357" s="632">
        <v>19</v>
      </c>
    </row>
    <row r="1358" spans="1:3" x14ac:dyDescent="0.25">
      <c r="A1358" s="631">
        <v>4252300</v>
      </c>
      <c r="B1358" s="632" t="s">
        <v>1416</v>
      </c>
      <c r="C1358" s="632">
        <v>567</v>
      </c>
    </row>
    <row r="1359" spans="1:3" x14ac:dyDescent="0.25">
      <c r="A1359" s="631" t="s">
        <v>1417</v>
      </c>
      <c r="B1359" s="632" t="s">
        <v>1418</v>
      </c>
      <c r="C1359" s="632">
        <v>242</v>
      </c>
    </row>
    <row r="1360" spans="1:3" x14ac:dyDescent="0.25">
      <c r="A1360" s="631" t="s">
        <v>1419</v>
      </c>
      <c r="B1360" s="632" t="s">
        <v>1420</v>
      </c>
      <c r="C1360" s="632">
        <v>242</v>
      </c>
    </row>
    <row r="1361" spans="1:5" x14ac:dyDescent="0.25">
      <c r="A1361" s="631">
        <v>4351125</v>
      </c>
      <c r="B1361" s="632" t="s">
        <v>1421</v>
      </c>
      <c r="C1361" s="632">
        <v>0</v>
      </c>
    </row>
    <row r="1362" spans="1:5" x14ac:dyDescent="0.25">
      <c r="A1362" s="631">
        <v>4352016</v>
      </c>
      <c r="B1362" s="632" t="s">
        <v>1422</v>
      </c>
      <c r="C1362" s="632">
        <v>27</v>
      </c>
    </row>
    <row r="1363" spans="1:5" x14ac:dyDescent="0.25">
      <c r="A1363" s="633">
        <v>4353000</v>
      </c>
      <c r="B1363" s="632" t="s">
        <v>1423</v>
      </c>
      <c r="C1363" s="632">
        <v>1218</v>
      </c>
      <c r="E1363">
        <v>5753640</v>
      </c>
    </row>
    <row r="1364" spans="1:5" x14ac:dyDescent="0.25">
      <c r="A1364" s="631">
        <v>4353010</v>
      </c>
      <c r="B1364" s="632" t="s">
        <v>1424</v>
      </c>
      <c r="C1364" s="632">
        <v>609</v>
      </c>
    </row>
    <row r="1365" spans="1:5" x14ac:dyDescent="0.25">
      <c r="A1365" s="631">
        <v>4353011</v>
      </c>
      <c r="B1365" s="632" t="s">
        <v>1425</v>
      </c>
      <c r="C1365" s="632">
        <v>609</v>
      </c>
    </row>
    <row r="1366" spans="1:5" x14ac:dyDescent="0.25">
      <c r="A1366" s="631">
        <v>4353017</v>
      </c>
      <c r="B1366" s="632" t="s">
        <v>1426</v>
      </c>
      <c r="C1366" s="632">
        <v>70</v>
      </c>
    </row>
    <row r="1367" spans="1:5" x14ac:dyDescent="0.25">
      <c r="A1367" s="631">
        <v>4353020</v>
      </c>
      <c r="B1367" s="632" t="s">
        <v>1427</v>
      </c>
      <c r="C1367" s="632">
        <v>609</v>
      </c>
    </row>
    <row r="1368" spans="1:5" x14ac:dyDescent="0.25">
      <c r="A1368" s="631">
        <v>4353021</v>
      </c>
      <c r="B1368" s="632" t="s">
        <v>1428</v>
      </c>
      <c r="C1368" s="632">
        <v>609</v>
      </c>
    </row>
    <row r="1369" spans="1:5" x14ac:dyDescent="0.25">
      <c r="A1369" s="631">
        <v>4353023</v>
      </c>
      <c r="B1369" s="632" t="s">
        <v>1429</v>
      </c>
      <c r="C1369" s="632">
        <v>128</v>
      </c>
    </row>
    <row r="1370" spans="1:5" x14ac:dyDescent="0.25">
      <c r="A1370" s="631">
        <v>4353030</v>
      </c>
      <c r="B1370" s="632" t="s">
        <v>1430</v>
      </c>
      <c r="C1370" s="632">
        <v>1600</v>
      </c>
    </row>
    <row r="1371" spans="1:5" x14ac:dyDescent="0.25">
      <c r="A1371" s="631">
        <v>4353031</v>
      </c>
      <c r="B1371" s="632" t="s">
        <v>1431</v>
      </c>
      <c r="C1371" s="632">
        <v>801</v>
      </c>
    </row>
    <row r="1372" spans="1:5" x14ac:dyDescent="0.25">
      <c r="A1372" s="631">
        <v>4353032</v>
      </c>
      <c r="B1372" s="632" t="s">
        <v>1432</v>
      </c>
      <c r="C1372" s="632">
        <v>801</v>
      </c>
    </row>
    <row r="1373" spans="1:5" x14ac:dyDescent="0.25">
      <c r="A1373" s="631">
        <v>4353060</v>
      </c>
      <c r="B1373" s="632" t="s">
        <v>1433</v>
      </c>
      <c r="C1373" s="632">
        <v>1600</v>
      </c>
    </row>
    <row r="1374" spans="1:5" x14ac:dyDescent="0.25">
      <c r="A1374" s="631">
        <v>4353061</v>
      </c>
      <c r="B1374" s="632" t="s">
        <v>1434</v>
      </c>
      <c r="C1374" s="632">
        <v>801</v>
      </c>
    </row>
    <row r="1375" spans="1:5" x14ac:dyDescent="0.25">
      <c r="A1375" s="631">
        <v>4353062</v>
      </c>
      <c r="B1375" s="632" t="s">
        <v>1435</v>
      </c>
      <c r="C1375" s="632">
        <v>801</v>
      </c>
    </row>
    <row r="1376" spans="1:5" x14ac:dyDescent="0.25">
      <c r="A1376" s="631">
        <v>4353080</v>
      </c>
      <c r="B1376" s="632" t="s">
        <v>1436</v>
      </c>
      <c r="C1376" s="632">
        <v>1218</v>
      </c>
    </row>
    <row r="1377" spans="1:3" x14ac:dyDescent="0.25">
      <c r="A1377" s="631">
        <v>4353083</v>
      </c>
      <c r="B1377" s="632" t="s">
        <v>1437</v>
      </c>
      <c r="C1377" s="632">
        <v>922</v>
      </c>
    </row>
    <row r="1378" spans="1:3" x14ac:dyDescent="0.25">
      <c r="A1378" s="631">
        <v>4353084</v>
      </c>
      <c r="B1378" s="632" t="s">
        <v>1438</v>
      </c>
      <c r="C1378" s="632">
        <v>922</v>
      </c>
    </row>
    <row r="1379" spans="1:3" x14ac:dyDescent="0.25">
      <c r="A1379" s="631">
        <v>4353085</v>
      </c>
      <c r="B1379" s="632" t="s">
        <v>1439</v>
      </c>
      <c r="C1379" s="632">
        <v>1894</v>
      </c>
    </row>
    <row r="1380" spans="1:3" x14ac:dyDescent="0.25">
      <c r="A1380" s="631">
        <v>4353121</v>
      </c>
      <c r="B1380" s="632" t="s">
        <v>1440</v>
      </c>
      <c r="C1380" s="632">
        <v>100</v>
      </c>
    </row>
    <row r="1381" spans="1:3" x14ac:dyDescent="0.25">
      <c r="A1381" s="631">
        <v>4353122</v>
      </c>
      <c r="B1381" s="632" t="s">
        <v>1441</v>
      </c>
      <c r="C1381" s="632">
        <v>100</v>
      </c>
    </row>
    <row r="1382" spans="1:3" x14ac:dyDescent="0.25">
      <c r="A1382" s="631">
        <v>4353124</v>
      </c>
      <c r="B1382" s="632" t="s">
        <v>1442</v>
      </c>
      <c r="C1382" s="632">
        <v>62</v>
      </c>
    </row>
    <row r="1383" spans="1:3" x14ac:dyDescent="0.25">
      <c r="A1383" s="631">
        <v>4353125</v>
      </c>
      <c r="B1383" s="632" t="s">
        <v>1443</v>
      </c>
      <c r="C1383" s="632">
        <v>31</v>
      </c>
    </row>
    <row r="1384" spans="1:3" x14ac:dyDescent="0.25">
      <c r="A1384" s="631" t="s">
        <v>1444</v>
      </c>
      <c r="B1384" s="632" t="s">
        <v>1445</v>
      </c>
      <c r="C1384" s="632">
        <v>28</v>
      </c>
    </row>
    <row r="1385" spans="1:3" x14ac:dyDescent="0.25">
      <c r="A1385" s="631">
        <v>4353210</v>
      </c>
      <c r="B1385" s="632" t="s">
        <v>1446</v>
      </c>
      <c r="C1385" s="632">
        <v>482</v>
      </c>
    </row>
    <row r="1386" spans="1:3" x14ac:dyDescent="0.25">
      <c r="A1386" s="631">
        <v>4353211</v>
      </c>
      <c r="B1386" s="632" t="s">
        <v>1447</v>
      </c>
      <c r="C1386" s="632">
        <v>482</v>
      </c>
    </row>
    <row r="1387" spans="1:3" x14ac:dyDescent="0.25">
      <c r="A1387" s="631">
        <v>4353220</v>
      </c>
      <c r="B1387" s="632" t="s">
        <v>1448</v>
      </c>
      <c r="C1387" s="632">
        <v>609</v>
      </c>
    </row>
    <row r="1388" spans="1:3" x14ac:dyDescent="0.25">
      <c r="A1388" s="631">
        <v>4353221</v>
      </c>
      <c r="B1388" s="632" t="s">
        <v>1449</v>
      </c>
      <c r="C1388" s="632">
        <v>609</v>
      </c>
    </row>
    <row r="1389" spans="1:3" x14ac:dyDescent="0.25">
      <c r="A1389" s="631">
        <v>4353231</v>
      </c>
      <c r="B1389" s="632" t="s">
        <v>1450</v>
      </c>
      <c r="C1389" s="632">
        <v>609</v>
      </c>
    </row>
    <row r="1390" spans="1:3" x14ac:dyDescent="0.25">
      <c r="A1390" s="631">
        <v>4353232</v>
      </c>
      <c r="B1390" s="632" t="s">
        <v>1451</v>
      </c>
      <c r="C1390" s="632">
        <v>609</v>
      </c>
    </row>
    <row r="1391" spans="1:3" x14ac:dyDescent="0.25">
      <c r="A1391" s="631">
        <v>4353261</v>
      </c>
      <c r="B1391" s="632" t="s">
        <v>1452</v>
      </c>
      <c r="C1391" s="632">
        <v>609</v>
      </c>
    </row>
    <row r="1392" spans="1:3" x14ac:dyDescent="0.25">
      <c r="A1392" s="631">
        <v>4353262</v>
      </c>
      <c r="B1392" s="632" t="s">
        <v>1453</v>
      </c>
      <c r="C1392" s="632">
        <v>609</v>
      </c>
    </row>
    <row r="1393" spans="1:3" x14ac:dyDescent="0.25">
      <c r="A1393" s="631">
        <v>4353300</v>
      </c>
      <c r="B1393" s="632" t="s">
        <v>1454</v>
      </c>
      <c r="C1393" s="632">
        <v>1136</v>
      </c>
    </row>
    <row r="1394" spans="1:3" x14ac:dyDescent="0.25">
      <c r="A1394" s="631">
        <v>4353301</v>
      </c>
      <c r="B1394" s="632" t="s">
        <v>1455</v>
      </c>
      <c r="C1394" s="632">
        <v>569</v>
      </c>
    </row>
    <row r="1395" spans="1:3" x14ac:dyDescent="0.25">
      <c r="A1395" s="631">
        <v>4353302</v>
      </c>
      <c r="B1395" s="632" t="s">
        <v>1456</v>
      </c>
      <c r="C1395" s="632">
        <v>569</v>
      </c>
    </row>
    <row r="1396" spans="1:3" x14ac:dyDescent="0.25">
      <c r="A1396" s="631">
        <v>4353305</v>
      </c>
      <c r="B1396" s="632" t="s">
        <v>1457</v>
      </c>
      <c r="C1396" s="632">
        <v>427</v>
      </c>
    </row>
    <row r="1397" spans="1:3" x14ac:dyDescent="0.25">
      <c r="A1397" s="631">
        <v>4353306</v>
      </c>
      <c r="B1397" s="632" t="s">
        <v>1458</v>
      </c>
      <c r="C1397" s="632">
        <v>427</v>
      </c>
    </row>
    <row r="1398" spans="1:3" x14ac:dyDescent="0.25">
      <c r="A1398" s="631">
        <v>4353330</v>
      </c>
      <c r="B1398" s="632" t="s">
        <v>1459</v>
      </c>
      <c r="C1398" s="632">
        <v>1750</v>
      </c>
    </row>
    <row r="1399" spans="1:3" x14ac:dyDescent="0.25">
      <c r="A1399" s="631">
        <v>4353331</v>
      </c>
      <c r="B1399" s="632" t="s">
        <v>1460</v>
      </c>
      <c r="C1399" s="632">
        <v>876</v>
      </c>
    </row>
    <row r="1400" spans="1:3" x14ac:dyDescent="0.25">
      <c r="A1400" s="631">
        <v>4353332</v>
      </c>
      <c r="B1400" s="632" t="s">
        <v>1461</v>
      </c>
      <c r="C1400" s="632">
        <v>876</v>
      </c>
    </row>
    <row r="1401" spans="1:3" x14ac:dyDescent="0.25">
      <c r="A1401" s="631">
        <v>4353335</v>
      </c>
      <c r="B1401" s="632" t="s">
        <v>1462</v>
      </c>
      <c r="C1401" s="632">
        <v>541</v>
      </c>
    </row>
    <row r="1402" spans="1:3" x14ac:dyDescent="0.25">
      <c r="A1402" s="631">
        <v>4353336</v>
      </c>
      <c r="B1402" s="632" t="s">
        <v>1463</v>
      </c>
      <c r="C1402" s="632">
        <v>541</v>
      </c>
    </row>
    <row r="1403" spans="1:3" x14ac:dyDescent="0.25">
      <c r="A1403" s="631">
        <v>4353340</v>
      </c>
      <c r="B1403" s="632" t="s">
        <v>1464</v>
      </c>
      <c r="C1403" s="632">
        <v>0</v>
      </c>
    </row>
    <row r="1404" spans="1:3" x14ac:dyDescent="0.25">
      <c r="A1404" s="631">
        <v>4353430</v>
      </c>
      <c r="B1404" s="632" t="s">
        <v>1465</v>
      </c>
      <c r="C1404" s="632">
        <v>1600</v>
      </c>
    </row>
    <row r="1405" spans="1:3" x14ac:dyDescent="0.25">
      <c r="A1405" s="631">
        <v>4353431</v>
      </c>
      <c r="B1405" s="632" t="s">
        <v>1466</v>
      </c>
      <c r="C1405" s="632">
        <v>801</v>
      </c>
    </row>
    <row r="1406" spans="1:3" x14ac:dyDescent="0.25">
      <c r="A1406" s="631">
        <v>4353432</v>
      </c>
      <c r="B1406" s="632" t="s">
        <v>1467</v>
      </c>
      <c r="C1406" s="632">
        <v>801</v>
      </c>
    </row>
    <row r="1407" spans="1:3" x14ac:dyDescent="0.25">
      <c r="A1407" s="631">
        <v>4354000</v>
      </c>
      <c r="B1407" s="632" t="s">
        <v>1468</v>
      </c>
      <c r="C1407" s="632">
        <v>3640</v>
      </c>
    </row>
    <row r="1408" spans="1:3" x14ac:dyDescent="0.25">
      <c r="A1408" s="631">
        <v>4354001</v>
      </c>
      <c r="B1408" s="632" t="s">
        <v>1469</v>
      </c>
      <c r="C1408" s="632">
        <v>2080</v>
      </c>
    </row>
    <row r="1409" spans="1:3" x14ac:dyDescent="0.25">
      <c r="A1409" s="631">
        <v>4354002</v>
      </c>
      <c r="B1409" s="632" t="s">
        <v>1470</v>
      </c>
      <c r="C1409" s="632">
        <v>2080</v>
      </c>
    </row>
    <row r="1410" spans="1:3" x14ac:dyDescent="0.25">
      <c r="A1410" s="631">
        <v>4354003</v>
      </c>
      <c r="B1410" s="632" t="s">
        <v>1471</v>
      </c>
      <c r="C1410" s="632">
        <v>1872</v>
      </c>
    </row>
    <row r="1411" spans="1:3" x14ac:dyDescent="0.25">
      <c r="A1411" s="631">
        <v>4354004</v>
      </c>
      <c r="B1411" s="632" t="s">
        <v>1472</v>
      </c>
      <c r="C1411" s="632">
        <v>1872</v>
      </c>
    </row>
    <row r="1412" spans="1:3" x14ac:dyDescent="0.25">
      <c r="A1412" s="631">
        <v>4354010</v>
      </c>
      <c r="B1412" s="632" t="s">
        <v>1473</v>
      </c>
      <c r="C1412" s="632">
        <v>208</v>
      </c>
    </row>
    <row r="1413" spans="1:3" x14ac:dyDescent="0.25">
      <c r="A1413" s="631">
        <v>4354014</v>
      </c>
      <c r="B1413" s="632" t="s">
        <v>1474</v>
      </c>
      <c r="C1413" s="632">
        <v>3640</v>
      </c>
    </row>
    <row r="1414" spans="1:3" x14ac:dyDescent="0.25">
      <c r="A1414" s="631">
        <v>4354023</v>
      </c>
      <c r="B1414" s="632" t="s">
        <v>1475</v>
      </c>
      <c r="C1414" s="632">
        <v>0</v>
      </c>
    </row>
    <row r="1415" spans="1:3" x14ac:dyDescent="0.25">
      <c r="A1415" s="631">
        <v>4354024</v>
      </c>
      <c r="B1415" s="632" t="s">
        <v>1476</v>
      </c>
      <c r="C1415" s="632">
        <v>0</v>
      </c>
    </row>
    <row r="1416" spans="1:3" x14ac:dyDescent="0.25">
      <c r="A1416" s="631">
        <v>4354025</v>
      </c>
      <c r="B1416" s="632" t="s">
        <v>1477</v>
      </c>
      <c r="C1416" s="632">
        <v>0</v>
      </c>
    </row>
    <row r="1417" spans="1:3" x14ac:dyDescent="0.25">
      <c r="A1417" s="631">
        <v>4354026</v>
      </c>
      <c r="B1417" s="632" t="s">
        <v>1478</v>
      </c>
      <c r="C1417" s="632">
        <v>3640</v>
      </c>
    </row>
    <row r="1418" spans="1:3" x14ac:dyDescent="0.25">
      <c r="A1418" s="631">
        <v>4354027</v>
      </c>
      <c r="B1418" s="632" t="s">
        <v>1479</v>
      </c>
      <c r="C1418" s="632">
        <v>0</v>
      </c>
    </row>
    <row r="1419" spans="1:3" x14ac:dyDescent="0.25">
      <c r="A1419" s="631">
        <v>4355000</v>
      </c>
      <c r="B1419" s="632" t="s">
        <v>1480</v>
      </c>
      <c r="C1419" s="632">
        <v>1218</v>
      </c>
    </row>
    <row r="1420" spans="1:3" x14ac:dyDescent="0.25">
      <c r="A1420" s="631">
        <v>4355001</v>
      </c>
      <c r="B1420" s="632" t="s">
        <v>1481</v>
      </c>
      <c r="C1420" s="632">
        <v>609</v>
      </c>
    </row>
    <row r="1421" spans="1:3" x14ac:dyDescent="0.25">
      <c r="A1421" s="631">
        <v>4355002</v>
      </c>
      <c r="B1421" s="632" t="s">
        <v>1482</v>
      </c>
      <c r="C1421" s="632">
        <v>609</v>
      </c>
    </row>
    <row r="1422" spans="1:3" x14ac:dyDescent="0.25">
      <c r="A1422" s="631">
        <v>4360038</v>
      </c>
      <c r="B1422" s="632" t="s">
        <v>1483</v>
      </c>
      <c r="C1422" s="632">
        <v>187</v>
      </c>
    </row>
    <row r="1423" spans="1:3" x14ac:dyDescent="0.25">
      <c r="A1423" s="631">
        <v>4360039</v>
      </c>
      <c r="B1423" s="632" t="s">
        <v>1484</v>
      </c>
      <c r="C1423" s="632">
        <v>62</v>
      </c>
    </row>
    <row r="1424" spans="1:3" x14ac:dyDescent="0.25">
      <c r="A1424" s="631">
        <v>4360040</v>
      </c>
      <c r="B1424" s="632" t="s">
        <v>1485</v>
      </c>
      <c r="C1424" s="632">
        <v>252</v>
      </c>
    </row>
    <row r="1425" spans="1:3" x14ac:dyDescent="0.25">
      <c r="A1425" s="631">
        <v>4370101</v>
      </c>
      <c r="B1425" s="632" t="s">
        <v>1486</v>
      </c>
      <c r="C1425" s="632">
        <v>545</v>
      </c>
    </row>
    <row r="1426" spans="1:3" x14ac:dyDescent="0.25">
      <c r="A1426" s="631">
        <v>4370102</v>
      </c>
      <c r="B1426" s="632" t="s">
        <v>1487</v>
      </c>
      <c r="C1426" s="632">
        <v>545</v>
      </c>
    </row>
    <row r="1427" spans="1:3" x14ac:dyDescent="0.25">
      <c r="A1427" s="631">
        <v>4370103</v>
      </c>
      <c r="B1427" s="632" t="s">
        <v>1488</v>
      </c>
      <c r="C1427" s="632">
        <v>331</v>
      </c>
    </row>
    <row r="1428" spans="1:3" x14ac:dyDescent="0.25">
      <c r="A1428" s="631">
        <v>4370124</v>
      </c>
      <c r="B1428" s="632" t="s">
        <v>1489</v>
      </c>
      <c r="C1428" s="632">
        <v>3807</v>
      </c>
    </row>
    <row r="1429" spans="1:3" x14ac:dyDescent="0.25">
      <c r="A1429" s="631">
        <v>4370127</v>
      </c>
      <c r="B1429" s="632" t="s">
        <v>1490</v>
      </c>
      <c r="C1429" s="632">
        <v>3807</v>
      </c>
    </row>
    <row r="1430" spans="1:3" x14ac:dyDescent="0.25">
      <c r="A1430" s="631">
        <v>4380024</v>
      </c>
      <c r="B1430" s="632" t="s">
        <v>1491</v>
      </c>
      <c r="C1430" s="632">
        <v>1489</v>
      </c>
    </row>
    <row r="1431" spans="1:3" x14ac:dyDescent="0.25">
      <c r="A1431" s="631">
        <v>4380027</v>
      </c>
      <c r="B1431" s="632" t="s">
        <v>1492</v>
      </c>
      <c r="C1431" s="632">
        <v>1489</v>
      </c>
    </row>
    <row r="1432" spans="1:3" x14ac:dyDescent="0.25">
      <c r="A1432" s="631">
        <v>4380124</v>
      </c>
      <c r="B1432" s="632" t="s">
        <v>1493</v>
      </c>
      <c r="C1432" s="632">
        <v>1266</v>
      </c>
    </row>
    <row r="1433" spans="1:3" x14ac:dyDescent="0.25">
      <c r="A1433" s="631">
        <v>4380127</v>
      </c>
      <c r="B1433" s="632" t="s">
        <v>1494</v>
      </c>
      <c r="C1433" s="632">
        <v>1157</v>
      </c>
    </row>
    <row r="1434" spans="1:3" x14ac:dyDescent="0.25">
      <c r="A1434" s="631">
        <v>4380128</v>
      </c>
      <c r="B1434" s="632" t="s">
        <v>1495</v>
      </c>
      <c r="C1434" s="632">
        <v>1792</v>
      </c>
    </row>
    <row r="1435" spans="1:3" x14ac:dyDescent="0.25">
      <c r="A1435" s="631">
        <v>4380129</v>
      </c>
      <c r="B1435" s="632" t="s">
        <v>1496</v>
      </c>
      <c r="C1435" s="632">
        <v>1456</v>
      </c>
    </row>
    <row r="1436" spans="1:3" x14ac:dyDescent="0.25">
      <c r="A1436" s="631">
        <v>4380140</v>
      </c>
      <c r="B1436" s="632" t="s">
        <v>1497</v>
      </c>
      <c r="C1436" s="632">
        <v>182</v>
      </c>
    </row>
    <row r="1437" spans="1:3" x14ac:dyDescent="0.25">
      <c r="A1437" s="631">
        <v>4380225</v>
      </c>
      <c r="B1437" s="632" t="s">
        <v>1498</v>
      </c>
      <c r="C1437" s="632">
        <v>1772</v>
      </c>
    </row>
    <row r="1438" spans="1:3" x14ac:dyDescent="0.25">
      <c r="A1438" s="631">
        <v>4380226</v>
      </c>
      <c r="B1438" s="632" t="s">
        <v>1499</v>
      </c>
      <c r="C1438" s="632">
        <v>1772</v>
      </c>
    </row>
    <row r="1439" spans="1:3" x14ac:dyDescent="0.25">
      <c r="A1439" s="631">
        <v>4380230</v>
      </c>
      <c r="B1439" s="632" t="s">
        <v>1500</v>
      </c>
      <c r="C1439" s="632">
        <v>136</v>
      </c>
    </row>
    <row r="1440" spans="1:3" x14ac:dyDescent="0.25">
      <c r="A1440" s="631">
        <v>4380231</v>
      </c>
      <c r="B1440" s="632" t="s">
        <v>1501</v>
      </c>
      <c r="C1440" s="632">
        <v>12</v>
      </c>
    </row>
    <row r="1441" spans="1:3" x14ac:dyDescent="0.25">
      <c r="A1441" s="631">
        <v>4380232</v>
      </c>
      <c r="B1441" s="632" t="s">
        <v>1502</v>
      </c>
      <c r="C1441" s="632">
        <v>1772</v>
      </c>
    </row>
    <row r="1442" spans="1:3" x14ac:dyDescent="0.25">
      <c r="A1442" s="631">
        <v>4380234</v>
      </c>
      <c r="B1442" s="632" t="s">
        <v>1503</v>
      </c>
      <c r="C1442" s="632">
        <v>121</v>
      </c>
    </row>
    <row r="1443" spans="1:3" x14ac:dyDescent="0.25">
      <c r="A1443" s="631">
        <v>4380237</v>
      </c>
      <c r="B1443" s="632" t="s">
        <v>1504</v>
      </c>
      <c r="C1443" s="632">
        <v>121</v>
      </c>
    </row>
    <row r="1444" spans="1:3" x14ac:dyDescent="0.25">
      <c r="A1444" s="631">
        <v>4380238</v>
      </c>
      <c r="B1444" s="632" t="s">
        <v>1505</v>
      </c>
      <c r="C1444" s="632">
        <v>633</v>
      </c>
    </row>
    <row r="1445" spans="1:3" x14ac:dyDescent="0.25">
      <c r="A1445" s="631">
        <v>4380241</v>
      </c>
      <c r="B1445" s="632" t="s">
        <v>1506</v>
      </c>
      <c r="C1445" s="632">
        <v>1772</v>
      </c>
    </row>
    <row r="1446" spans="1:3" x14ac:dyDescent="0.25">
      <c r="A1446" s="631">
        <v>4380242</v>
      </c>
      <c r="B1446" s="632" t="s">
        <v>1507</v>
      </c>
      <c r="C1446" s="632">
        <v>1772</v>
      </c>
    </row>
    <row r="1447" spans="1:3" x14ac:dyDescent="0.25">
      <c r="A1447" s="631">
        <v>4380301</v>
      </c>
      <c r="B1447" s="632" t="s">
        <v>1508</v>
      </c>
      <c r="C1447" s="632">
        <v>80</v>
      </c>
    </row>
    <row r="1448" spans="1:3" x14ac:dyDescent="0.25">
      <c r="A1448" s="631" t="s">
        <v>1509</v>
      </c>
      <c r="B1448" s="632" t="s">
        <v>1510</v>
      </c>
      <c r="C1448" s="632">
        <v>144</v>
      </c>
    </row>
    <row r="1449" spans="1:3" x14ac:dyDescent="0.25">
      <c r="A1449" s="631">
        <v>4380401</v>
      </c>
      <c r="B1449" s="632" t="s">
        <v>1511</v>
      </c>
      <c r="C1449" s="632">
        <v>26</v>
      </c>
    </row>
    <row r="1450" spans="1:3" x14ac:dyDescent="0.25">
      <c r="A1450" s="631">
        <v>4380405</v>
      </c>
      <c r="B1450" s="632" t="s">
        <v>1512</v>
      </c>
      <c r="C1450" s="632">
        <v>29</v>
      </c>
    </row>
    <row r="1451" spans="1:3" x14ac:dyDescent="0.25">
      <c r="A1451" s="631">
        <v>4380425</v>
      </c>
      <c r="B1451" s="632" t="s">
        <v>1513</v>
      </c>
      <c r="C1451" s="632">
        <v>180</v>
      </c>
    </row>
    <row r="1452" spans="1:3" x14ac:dyDescent="0.25">
      <c r="A1452" s="631">
        <v>4380428</v>
      </c>
      <c r="B1452" s="632" t="s">
        <v>1514</v>
      </c>
      <c r="C1452" s="632">
        <v>221</v>
      </c>
    </row>
    <row r="1453" spans="1:3" x14ac:dyDescent="0.25">
      <c r="A1453" s="631">
        <v>4380431</v>
      </c>
      <c r="B1453" s="632" t="s">
        <v>1515</v>
      </c>
      <c r="C1453" s="632">
        <v>202</v>
      </c>
    </row>
    <row r="1454" spans="1:3" x14ac:dyDescent="0.25">
      <c r="A1454" s="631">
        <v>4380434</v>
      </c>
      <c r="B1454" s="632" t="s">
        <v>1516</v>
      </c>
      <c r="C1454" s="632">
        <v>202</v>
      </c>
    </row>
    <row r="1455" spans="1:3" x14ac:dyDescent="0.25">
      <c r="A1455" s="631">
        <v>4380437</v>
      </c>
      <c r="B1455" s="632" t="s">
        <v>1517</v>
      </c>
      <c r="C1455" s="632">
        <v>202</v>
      </c>
    </row>
    <row r="1456" spans="1:3" x14ac:dyDescent="0.25">
      <c r="A1456" s="631">
        <v>4380440</v>
      </c>
      <c r="B1456" s="632" t="s">
        <v>1518</v>
      </c>
      <c r="C1456" s="632">
        <v>202</v>
      </c>
    </row>
    <row r="1457" spans="1:3" x14ac:dyDescent="0.25">
      <c r="A1457" s="631">
        <v>4380443</v>
      </c>
      <c r="B1457" s="632" t="s">
        <v>1519</v>
      </c>
      <c r="C1457" s="632">
        <v>202</v>
      </c>
    </row>
    <row r="1458" spans="1:3" x14ac:dyDescent="0.25">
      <c r="A1458" s="631">
        <v>4380446</v>
      </c>
      <c r="B1458" s="632" t="s">
        <v>1520</v>
      </c>
      <c r="C1458" s="632">
        <v>202</v>
      </c>
    </row>
    <row r="1459" spans="1:3" x14ac:dyDescent="0.25">
      <c r="A1459" s="631">
        <v>4380451</v>
      </c>
      <c r="B1459" s="632" t="s">
        <v>1521</v>
      </c>
      <c r="C1459" s="632">
        <v>202</v>
      </c>
    </row>
    <row r="1460" spans="1:3" x14ac:dyDescent="0.25">
      <c r="A1460" s="631">
        <v>4380524</v>
      </c>
      <c r="B1460" s="632" t="s">
        <v>1522</v>
      </c>
      <c r="C1460" s="632">
        <v>1235</v>
      </c>
    </row>
    <row r="1461" spans="1:3" x14ac:dyDescent="0.25">
      <c r="A1461" s="631">
        <v>4380527</v>
      </c>
      <c r="B1461" s="632" t="s">
        <v>1523</v>
      </c>
      <c r="C1461" s="632">
        <v>1235</v>
      </c>
    </row>
    <row r="1462" spans="1:3" x14ac:dyDescent="0.25">
      <c r="A1462" s="631">
        <v>4380534</v>
      </c>
      <c r="B1462" s="632" t="s">
        <v>1524</v>
      </c>
      <c r="C1462" s="632">
        <v>90</v>
      </c>
    </row>
    <row r="1463" spans="1:3" x14ac:dyDescent="0.25">
      <c r="A1463" s="631">
        <v>4380535</v>
      </c>
      <c r="B1463" s="632" t="s">
        <v>1525</v>
      </c>
      <c r="C1463" s="632">
        <v>100</v>
      </c>
    </row>
    <row r="1464" spans="1:3" x14ac:dyDescent="0.25">
      <c r="A1464" s="631">
        <v>4380536</v>
      </c>
      <c r="B1464" s="632" t="s">
        <v>1526</v>
      </c>
      <c r="C1464" s="632">
        <v>40</v>
      </c>
    </row>
    <row r="1465" spans="1:3" x14ac:dyDescent="0.25">
      <c r="A1465" s="631">
        <v>4380537</v>
      </c>
      <c r="B1465" s="632" t="s">
        <v>1527</v>
      </c>
      <c r="C1465" s="632">
        <v>0</v>
      </c>
    </row>
    <row r="1466" spans="1:3" x14ac:dyDescent="0.25">
      <c r="A1466" s="631">
        <v>4391006</v>
      </c>
      <c r="B1466" s="632" t="s">
        <v>1528</v>
      </c>
      <c r="C1466" s="632">
        <v>28</v>
      </c>
    </row>
    <row r="1467" spans="1:3" x14ac:dyDescent="0.25">
      <c r="A1467" s="631">
        <v>4391017</v>
      </c>
      <c r="B1467" s="632" t="s">
        <v>1529</v>
      </c>
      <c r="C1467" s="632">
        <v>166</v>
      </c>
    </row>
    <row r="1468" spans="1:3" x14ac:dyDescent="0.25">
      <c r="A1468" s="631">
        <v>4391018</v>
      </c>
      <c r="B1468" s="632" t="s">
        <v>1530</v>
      </c>
      <c r="C1468" s="632">
        <v>369</v>
      </c>
    </row>
    <row r="1469" spans="1:3" x14ac:dyDescent="0.25">
      <c r="A1469" s="631">
        <v>4391101</v>
      </c>
      <c r="B1469" s="632" t="s">
        <v>1531</v>
      </c>
      <c r="C1469" s="632">
        <v>783</v>
      </c>
    </row>
    <row r="1470" spans="1:3" x14ac:dyDescent="0.25">
      <c r="A1470" s="631">
        <v>4391102</v>
      </c>
      <c r="B1470" s="632" t="s">
        <v>1532</v>
      </c>
      <c r="C1470" s="632">
        <v>783</v>
      </c>
    </row>
    <row r="1471" spans="1:3" x14ac:dyDescent="0.25">
      <c r="A1471" s="631">
        <v>4391103</v>
      </c>
      <c r="B1471" s="632" t="s">
        <v>1533</v>
      </c>
      <c r="C1471" s="632">
        <v>1580</v>
      </c>
    </row>
    <row r="1472" spans="1:3" x14ac:dyDescent="0.25">
      <c r="A1472" s="631">
        <v>4391104</v>
      </c>
      <c r="B1472" s="632" t="s">
        <v>1534</v>
      </c>
      <c r="C1472" s="632">
        <v>1580</v>
      </c>
    </row>
    <row r="1473" spans="1:3" x14ac:dyDescent="0.25">
      <c r="A1473" s="631">
        <v>4391105</v>
      </c>
      <c r="B1473" s="632" t="s">
        <v>1535</v>
      </c>
      <c r="C1473" s="632">
        <v>1580</v>
      </c>
    </row>
    <row r="1474" spans="1:3" x14ac:dyDescent="0.25">
      <c r="A1474" s="631">
        <v>4391106</v>
      </c>
      <c r="B1474" s="632" t="s">
        <v>1536</v>
      </c>
      <c r="C1474" s="632">
        <v>1580</v>
      </c>
    </row>
    <row r="1475" spans="1:3" x14ac:dyDescent="0.25">
      <c r="A1475" s="631">
        <v>4391107</v>
      </c>
      <c r="B1475" s="632" t="s">
        <v>1537</v>
      </c>
      <c r="C1475" s="632">
        <v>1580</v>
      </c>
    </row>
    <row r="1476" spans="1:3" x14ac:dyDescent="0.25">
      <c r="A1476" s="631">
        <v>4391108</v>
      </c>
      <c r="B1476" s="632" t="s">
        <v>1538</v>
      </c>
      <c r="C1476" s="632">
        <v>1580</v>
      </c>
    </row>
    <row r="1477" spans="1:3" x14ac:dyDescent="0.25">
      <c r="A1477" s="631">
        <v>4391109</v>
      </c>
      <c r="B1477" s="632" t="s">
        <v>1539</v>
      </c>
      <c r="C1477" s="632">
        <v>1580</v>
      </c>
    </row>
    <row r="1478" spans="1:3" x14ac:dyDescent="0.25">
      <c r="A1478" s="631">
        <v>4391110</v>
      </c>
      <c r="B1478" s="632" t="s">
        <v>1540</v>
      </c>
      <c r="C1478" s="632">
        <v>1580</v>
      </c>
    </row>
    <row r="1479" spans="1:3" x14ac:dyDescent="0.25">
      <c r="A1479" s="631">
        <v>4391133</v>
      </c>
      <c r="B1479" s="632" t="s">
        <v>1541</v>
      </c>
      <c r="C1479" s="632">
        <v>3160</v>
      </c>
    </row>
    <row r="1480" spans="1:3" x14ac:dyDescent="0.25">
      <c r="A1480" s="631">
        <v>4391139</v>
      </c>
      <c r="B1480" s="632" t="s">
        <v>1542</v>
      </c>
      <c r="C1480" s="632">
        <v>3160</v>
      </c>
    </row>
    <row r="1481" spans="1:3" x14ac:dyDescent="0.25">
      <c r="A1481" s="631">
        <v>4391145</v>
      </c>
      <c r="B1481" s="632" t="s">
        <v>1543</v>
      </c>
      <c r="C1481" s="632">
        <v>3160</v>
      </c>
    </row>
    <row r="1482" spans="1:3" x14ac:dyDescent="0.25">
      <c r="A1482" s="631">
        <v>4391150</v>
      </c>
      <c r="B1482" s="632" t="s">
        <v>1544</v>
      </c>
      <c r="C1482" s="632">
        <v>3160</v>
      </c>
    </row>
    <row r="1483" spans="1:3" x14ac:dyDescent="0.25">
      <c r="A1483" s="631">
        <v>4391233</v>
      </c>
      <c r="B1483" s="632" t="s">
        <v>1541</v>
      </c>
      <c r="C1483" s="632">
        <v>3160</v>
      </c>
    </row>
    <row r="1484" spans="1:3" x14ac:dyDescent="0.25">
      <c r="A1484" s="631">
        <v>4391239</v>
      </c>
      <c r="B1484" s="632" t="s">
        <v>1542</v>
      </c>
      <c r="C1484" s="632">
        <v>3160</v>
      </c>
    </row>
    <row r="1485" spans="1:3" x14ac:dyDescent="0.25">
      <c r="A1485" s="631">
        <v>4391245</v>
      </c>
      <c r="B1485" s="632" t="s">
        <v>1543</v>
      </c>
      <c r="C1485" s="632">
        <v>3160</v>
      </c>
    </row>
    <row r="1486" spans="1:3" x14ac:dyDescent="0.25">
      <c r="A1486" s="631">
        <v>4391250</v>
      </c>
      <c r="B1486" s="632" t="s">
        <v>1544</v>
      </c>
      <c r="C1486" s="632">
        <v>3160</v>
      </c>
    </row>
    <row r="1487" spans="1:3" x14ac:dyDescent="0.25">
      <c r="A1487" s="631">
        <v>4391333</v>
      </c>
      <c r="B1487" s="632" t="s">
        <v>1541</v>
      </c>
      <c r="C1487" s="632">
        <v>3160</v>
      </c>
    </row>
    <row r="1488" spans="1:3" x14ac:dyDescent="0.25">
      <c r="A1488" s="631">
        <v>4391339</v>
      </c>
      <c r="B1488" s="632" t="s">
        <v>1542</v>
      </c>
      <c r="C1488" s="632">
        <v>3160</v>
      </c>
    </row>
    <row r="1489" spans="1:3" x14ac:dyDescent="0.25">
      <c r="A1489" s="631">
        <v>4391345</v>
      </c>
      <c r="B1489" s="632" t="s">
        <v>1545</v>
      </c>
      <c r="C1489" s="632">
        <v>3160</v>
      </c>
    </row>
    <row r="1490" spans="1:3" x14ac:dyDescent="0.25">
      <c r="A1490" s="631">
        <v>4391433</v>
      </c>
      <c r="B1490" s="632" t="s">
        <v>1541</v>
      </c>
      <c r="C1490" s="632">
        <v>3160</v>
      </c>
    </row>
    <row r="1491" spans="1:3" x14ac:dyDescent="0.25">
      <c r="A1491" s="631">
        <v>4391439</v>
      </c>
      <c r="B1491" s="632" t="s">
        <v>1542</v>
      </c>
      <c r="C1491" s="632">
        <v>3160</v>
      </c>
    </row>
    <row r="1492" spans="1:3" x14ac:dyDescent="0.25">
      <c r="A1492" s="631">
        <v>4391445</v>
      </c>
      <c r="B1492" s="632" t="s">
        <v>1545</v>
      </c>
      <c r="C1492" s="632">
        <v>3160</v>
      </c>
    </row>
    <row r="1493" spans="1:3" x14ac:dyDescent="0.25">
      <c r="A1493" s="631">
        <v>4400016</v>
      </c>
      <c r="B1493" s="632" t="s">
        <v>1546</v>
      </c>
      <c r="C1493" s="632">
        <v>337</v>
      </c>
    </row>
    <row r="1494" spans="1:3" x14ac:dyDescent="0.25">
      <c r="A1494" s="631">
        <v>4400018</v>
      </c>
      <c r="B1494" s="632" t="s">
        <v>1547</v>
      </c>
      <c r="C1494" s="632">
        <v>337</v>
      </c>
    </row>
    <row r="1495" spans="1:3" x14ac:dyDescent="0.25">
      <c r="A1495" s="631">
        <v>4400030</v>
      </c>
      <c r="B1495" s="632" t="s">
        <v>1548</v>
      </c>
      <c r="C1495" s="632">
        <v>1993</v>
      </c>
    </row>
    <row r="1496" spans="1:3" x14ac:dyDescent="0.25">
      <c r="A1496" s="631">
        <v>4400031</v>
      </c>
      <c r="B1496" s="632" t="s">
        <v>1549</v>
      </c>
      <c r="C1496" s="632">
        <v>1993</v>
      </c>
    </row>
    <row r="1497" spans="1:3" x14ac:dyDescent="0.25">
      <c r="A1497" s="631">
        <v>4400050</v>
      </c>
      <c r="B1497" s="632" t="s">
        <v>1550</v>
      </c>
      <c r="C1497" s="632">
        <v>1474</v>
      </c>
    </row>
    <row r="1498" spans="1:3" x14ac:dyDescent="0.25">
      <c r="A1498" s="631">
        <v>4400051</v>
      </c>
      <c r="B1498" s="632" t="s">
        <v>1551</v>
      </c>
      <c r="C1498" s="632">
        <v>740</v>
      </c>
    </row>
    <row r="1499" spans="1:3" x14ac:dyDescent="0.25">
      <c r="A1499" s="631">
        <v>4400052</v>
      </c>
      <c r="B1499" s="632" t="s">
        <v>1552</v>
      </c>
      <c r="C1499" s="632">
        <v>740</v>
      </c>
    </row>
    <row r="1500" spans="1:3" x14ac:dyDescent="0.25">
      <c r="A1500" s="631">
        <v>4400053</v>
      </c>
      <c r="B1500" s="632" t="s">
        <v>1553</v>
      </c>
      <c r="C1500" s="632">
        <v>800</v>
      </c>
    </row>
    <row r="1501" spans="1:3" x14ac:dyDescent="0.25">
      <c r="A1501" s="631">
        <v>4400054</v>
      </c>
      <c r="B1501" s="632" t="s">
        <v>1554</v>
      </c>
      <c r="C1501" s="632">
        <v>800</v>
      </c>
    </row>
    <row r="1502" spans="1:3" x14ac:dyDescent="0.25">
      <c r="A1502" s="631">
        <v>4401017</v>
      </c>
      <c r="B1502" s="632" t="s">
        <v>1555</v>
      </c>
      <c r="C1502" s="632">
        <v>0</v>
      </c>
    </row>
    <row r="1503" spans="1:3" x14ac:dyDescent="0.25">
      <c r="A1503" s="631">
        <v>4401020</v>
      </c>
      <c r="B1503" s="632" t="s">
        <v>1556</v>
      </c>
      <c r="C1503" s="632">
        <v>47</v>
      </c>
    </row>
    <row r="1504" spans="1:3" x14ac:dyDescent="0.25">
      <c r="A1504" s="631">
        <v>4401065</v>
      </c>
      <c r="B1504" s="632" t="s">
        <v>1557</v>
      </c>
      <c r="C1504" s="632">
        <v>140</v>
      </c>
    </row>
    <row r="1505" spans="1:3" x14ac:dyDescent="0.25">
      <c r="A1505" s="631">
        <v>4401081</v>
      </c>
      <c r="B1505" s="632" t="s">
        <v>1558</v>
      </c>
      <c r="C1505" s="632">
        <v>45</v>
      </c>
    </row>
    <row r="1506" spans="1:3" x14ac:dyDescent="0.25">
      <c r="A1506" s="631">
        <v>4401082</v>
      </c>
      <c r="B1506" s="632" t="s">
        <v>1559</v>
      </c>
      <c r="C1506" s="632">
        <v>45</v>
      </c>
    </row>
    <row r="1507" spans="1:3" x14ac:dyDescent="0.25">
      <c r="A1507" s="631">
        <v>4401140</v>
      </c>
      <c r="B1507" s="632" t="s">
        <v>1560</v>
      </c>
      <c r="C1507" s="632">
        <v>180</v>
      </c>
    </row>
    <row r="1508" spans="1:3" x14ac:dyDescent="0.25">
      <c r="A1508" s="631">
        <v>4401141</v>
      </c>
      <c r="B1508" s="632" t="s">
        <v>1561</v>
      </c>
      <c r="C1508" s="632">
        <v>90</v>
      </c>
    </row>
    <row r="1509" spans="1:3" x14ac:dyDescent="0.25">
      <c r="A1509" s="631">
        <v>4401142</v>
      </c>
      <c r="B1509" s="632" t="s">
        <v>1562</v>
      </c>
      <c r="C1509" s="632">
        <v>90</v>
      </c>
    </row>
    <row r="1510" spans="1:3" x14ac:dyDescent="0.25">
      <c r="A1510" s="631">
        <v>4401200</v>
      </c>
      <c r="B1510" s="632" t="s">
        <v>1563</v>
      </c>
      <c r="C1510" s="632">
        <v>2770</v>
      </c>
    </row>
    <row r="1511" spans="1:3" x14ac:dyDescent="0.25">
      <c r="A1511" s="631">
        <v>4401201</v>
      </c>
      <c r="B1511" s="632" t="s">
        <v>1564</v>
      </c>
      <c r="C1511" s="632">
        <v>937</v>
      </c>
    </row>
    <row r="1512" spans="1:3" x14ac:dyDescent="0.25">
      <c r="A1512" s="631">
        <v>4401202</v>
      </c>
      <c r="B1512" s="632" t="s">
        <v>1565</v>
      </c>
      <c r="C1512" s="632">
        <v>937</v>
      </c>
    </row>
    <row r="1513" spans="1:3" x14ac:dyDescent="0.25">
      <c r="A1513" s="631">
        <v>4401241</v>
      </c>
      <c r="B1513" s="632" t="s">
        <v>1566</v>
      </c>
      <c r="C1513" s="632">
        <v>733</v>
      </c>
    </row>
    <row r="1514" spans="1:3" x14ac:dyDescent="0.25">
      <c r="A1514" s="631">
        <v>4401242</v>
      </c>
      <c r="B1514" s="632" t="s">
        <v>1567</v>
      </c>
      <c r="C1514" s="632">
        <v>733</v>
      </c>
    </row>
    <row r="1515" spans="1:3" x14ac:dyDescent="0.25">
      <c r="A1515" s="631">
        <v>4401243</v>
      </c>
      <c r="B1515" s="632" t="s">
        <v>1568</v>
      </c>
      <c r="C1515" s="632">
        <v>733</v>
      </c>
    </row>
    <row r="1516" spans="1:3" x14ac:dyDescent="0.25">
      <c r="A1516" s="631">
        <v>4401244</v>
      </c>
      <c r="B1516" s="632" t="s">
        <v>1569</v>
      </c>
      <c r="C1516" s="632">
        <v>733</v>
      </c>
    </row>
    <row r="1517" spans="1:3" x14ac:dyDescent="0.25">
      <c r="A1517" s="631">
        <v>4401245</v>
      </c>
      <c r="B1517" s="632" t="s">
        <v>1570</v>
      </c>
      <c r="C1517" s="632">
        <v>733</v>
      </c>
    </row>
    <row r="1518" spans="1:3" x14ac:dyDescent="0.25">
      <c r="A1518" s="631">
        <v>4401246</v>
      </c>
      <c r="B1518" s="632" t="s">
        <v>1571</v>
      </c>
      <c r="C1518" s="632">
        <v>733</v>
      </c>
    </row>
    <row r="1519" spans="1:3" x14ac:dyDescent="0.25">
      <c r="A1519" s="631">
        <v>4401251</v>
      </c>
      <c r="B1519" s="632" t="s">
        <v>1572</v>
      </c>
      <c r="C1519" s="632">
        <v>820</v>
      </c>
    </row>
    <row r="1520" spans="1:3" x14ac:dyDescent="0.25">
      <c r="A1520" s="631">
        <v>4401252</v>
      </c>
      <c r="B1520" s="632" t="s">
        <v>1573</v>
      </c>
      <c r="C1520" s="632">
        <v>410</v>
      </c>
    </row>
    <row r="1521" spans="1:3" x14ac:dyDescent="0.25">
      <c r="A1521" s="631">
        <v>4401300</v>
      </c>
      <c r="B1521" s="632" t="s">
        <v>1574</v>
      </c>
      <c r="C1521" s="632">
        <v>2770</v>
      </c>
    </row>
    <row r="1522" spans="1:3" x14ac:dyDescent="0.25">
      <c r="A1522" s="631">
        <v>4401301</v>
      </c>
      <c r="B1522" s="632" t="s">
        <v>1575</v>
      </c>
      <c r="C1522" s="632">
        <v>863</v>
      </c>
    </row>
    <row r="1523" spans="1:3" x14ac:dyDescent="0.25">
      <c r="A1523" s="631">
        <v>4401302</v>
      </c>
      <c r="B1523" s="632" t="s">
        <v>1576</v>
      </c>
      <c r="C1523" s="632">
        <v>863</v>
      </c>
    </row>
    <row r="1524" spans="1:3" x14ac:dyDescent="0.25">
      <c r="A1524" s="631">
        <v>4401400</v>
      </c>
      <c r="B1524" s="632" t="s">
        <v>1577</v>
      </c>
      <c r="C1524" s="632">
        <v>2692</v>
      </c>
    </row>
    <row r="1525" spans="1:3" x14ac:dyDescent="0.25">
      <c r="A1525" s="631">
        <v>4401401</v>
      </c>
      <c r="B1525" s="632" t="s">
        <v>1578</v>
      </c>
      <c r="C1525" s="632">
        <v>536</v>
      </c>
    </row>
    <row r="1526" spans="1:3" x14ac:dyDescent="0.25">
      <c r="A1526" s="631">
        <v>4401402</v>
      </c>
      <c r="B1526" s="632" t="s">
        <v>1579</v>
      </c>
      <c r="C1526" s="632">
        <v>536</v>
      </c>
    </row>
    <row r="1527" spans="1:3" x14ac:dyDescent="0.25">
      <c r="A1527" s="631">
        <v>4401410</v>
      </c>
      <c r="B1527" s="632" t="s">
        <v>1580</v>
      </c>
      <c r="C1527" s="632">
        <v>2692</v>
      </c>
    </row>
    <row r="1528" spans="1:3" x14ac:dyDescent="0.25">
      <c r="A1528" s="631">
        <v>4401570</v>
      </c>
      <c r="B1528" s="632" t="s">
        <v>1581</v>
      </c>
      <c r="C1528" s="632">
        <v>949</v>
      </c>
    </row>
    <row r="1529" spans="1:3" x14ac:dyDescent="0.25">
      <c r="A1529" s="631">
        <v>4401571</v>
      </c>
      <c r="B1529" s="632" t="s">
        <v>1582</v>
      </c>
      <c r="C1529" s="632">
        <v>443</v>
      </c>
    </row>
    <row r="1530" spans="1:3" x14ac:dyDescent="0.25">
      <c r="A1530" s="631">
        <v>4401572</v>
      </c>
      <c r="B1530" s="632" t="s">
        <v>1583</v>
      </c>
      <c r="C1530" s="632">
        <v>443</v>
      </c>
    </row>
    <row r="1531" spans="1:3" x14ac:dyDescent="0.25">
      <c r="A1531" s="631">
        <v>4401580</v>
      </c>
      <c r="B1531" s="632" t="s">
        <v>1584</v>
      </c>
      <c r="C1531" s="632">
        <v>885</v>
      </c>
    </row>
    <row r="1532" spans="1:3" x14ac:dyDescent="0.25">
      <c r="A1532" s="631">
        <v>4401581</v>
      </c>
      <c r="B1532" s="632" t="s">
        <v>1585</v>
      </c>
      <c r="C1532" s="632">
        <v>443</v>
      </c>
    </row>
    <row r="1533" spans="1:3" x14ac:dyDescent="0.25">
      <c r="A1533" s="631">
        <v>4401582</v>
      </c>
      <c r="B1533" s="632" t="s">
        <v>1586</v>
      </c>
      <c r="C1533" s="632">
        <v>443</v>
      </c>
    </row>
    <row r="1534" spans="1:3" x14ac:dyDescent="0.25">
      <c r="A1534" s="633">
        <v>4402430</v>
      </c>
      <c r="B1534" s="632" t="s">
        <v>1587</v>
      </c>
      <c r="C1534" s="632">
        <v>1660</v>
      </c>
    </row>
    <row r="1535" spans="1:3" x14ac:dyDescent="0.25">
      <c r="A1535" s="631">
        <v>4402433</v>
      </c>
      <c r="B1535" s="632" t="s">
        <v>1588</v>
      </c>
      <c r="C1535" s="632">
        <v>829</v>
      </c>
    </row>
    <row r="1536" spans="1:3" x14ac:dyDescent="0.25">
      <c r="A1536" s="631">
        <v>4402434</v>
      </c>
      <c r="B1536" s="632" t="s">
        <v>1589</v>
      </c>
      <c r="C1536" s="632">
        <v>829</v>
      </c>
    </row>
    <row r="1537" spans="1:3" x14ac:dyDescent="0.25">
      <c r="A1537" s="631">
        <v>4402470</v>
      </c>
      <c r="B1537" s="632" t="s">
        <v>1590</v>
      </c>
      <c r="C1537" s="632">
        <v>1660</v>
      </c>
    </row>
    <row r="1538" spans="1:3" x14ac:dyDescent="0.25">
      <c r="A1538" s="631">
        <v>4402530</v>
      </c>
      <c r="B1538" s="632" t="s">
        <v>1591</v>
      </c>
      <c r="C1538" s="632">
        <v>1660</v>
      </c>
    </row>
    <row r="1539" spans="1:3" x14ac:dyDescent="0.25">
      <c r="A1539" s="631">
        <v>4402570</v>
      </c>
      <c r="B1539" s="632" t="s">
        <v>1592</v>
      </c>
      <c r="C1539" s="632">
        <v>1660</v>
      </c>
    </row>
    <row r="1540" spans="1:3" x14ac:dyDescent="0.25">
      <c r="A1540" s="631">
        <v>4402630</v>
      </c>
      <c r="B1540" s="632" t="s">
        <v>1593</v>
      </c>
      <c r="C1540" s="632">
        <v>1660</v>
      </c>
    </row>
    <row r="1541" spans="1:3" x14ac:dyDescent="0.25">
      <c r="A1541" s="631">
        <v>4402633</v>
      </c>
      <c r="B1541" s="632" t="s">
        <v>1594</v>
      </c>
      <c r="C1541" s="632">
        <v>829</v>
      </c>
    </row>
    <row r="1542" spans="1:3" x14ac:dyDescent="0.25">
      <c r="A1542" s="631">
        <v>4402634</v>
      </c>
      <c r="B1542" s="632" t="s">
        <v>1595</v>
      </c>
      <c r="C1542" s="632">
        <v>829</v>
      </c>
    </row>
    <row r="1543" spans="1:3" x14ac:dyDescent="0.25">
      <c r="A1543" s="631">
        <v>4402670</v>
      </c>
      <c r="B1543" s="632" t="s">
        <v>1596</v>
      </c>
      <c r="C1543" s="632">
        <v>1660</v>
      </c>
    </row>
    <row r="1544" spans="1:3" x14ac:dyDescent="0.25">
      <c r="A1544" s="631">
        <v>4409205</v>
      </c>
      <c r="B1544" s="632" t="s">
        <v>1597</v>
      </c>
      <c r="C1544" s="632">
        <v>16</v>
      </c>
    </row>
    <row r="1545" spans="1:3" x14ac:dyDescent="0.25">
      <c r="A1545" s="631">
        <v>4410021</v>
      </c>
      <c r="B1545" s="632" t="s">
        <v>1598</v>
      </c>
      <c r="C1545" s="632">
        <v>29</v>
      </c>
    </row>
    <row r="1546" spans="1:3" x14ac:dyDescent="0.25">
      <c r="A1546" s="631">
        <v>4420101</v>
      </c>
      <c r="B1546" s="632" t="s">
        <v>1599</v>
      </c>
      <c r="C1546" s="632">
        <v>47</v>
      </c>
    </row>
    <row r="1547" spans="1:3" x14ac:dyDescent="0.25">
      <c r="A1547" s="631">
        <v>4420103</v>
      </c>
      <c r="B1547" s="632" t="s">
        <v>1600</v>
      </c>
      <c r="C1547" s="632">
        <v>61</v>
      </c>
    </row>
    <row r="1548" spans="1:3" x14ac:dyDescent="0.25">
      <c r="A1548" s="631">
        <v>4420131</v>
      </c>
      <c r="B1548" s="632" t="s">
        <v>1601</v>
      </c>
      <c r="C1548" s="632">
        <v>108</v>
      </c>
    </row>
    <row r="1549" spans="1:3" x14ac:dyDescent="0.25">
      <c r="A1549" s="631">
        <v>4420132</v>
      </c>
      <c r="B1549" s="632" t="s">
        <v>1602</v>
      </c>
      <c r="C1549" s="632">
        <v>108</v>
      </c>
    </row>
    <row r="1550" spans="1:3" x14ac:dyDescent="0.25">
      <c r="A1550" s="631">
        <v>4420133</v>
      </c>
      <c r="B1550" s="632" t="s">
        <v>1603</v>
      </c>
      <c r="C1550" s="632">
        <v>108</v>
      </c>
    </row>
    <row r="1551" spans="1:3" x14ac:dyDescent="0.25">
      <c r="A1551" s="631">
        <v>4420134</v>
      </c>
      <c r="B1551" s="632" t="s">
        <v>1604</v>
      </c>
      <c r="C1551" s="632">
        <v>108</v>
      </c>
    </row>
    <row r="1552" spans="1:3" x14ac:dyDescent="0.25">
      <c r="A1552" s="631">
        <v>4420171</v>
      </c>
      <c r="B1552" s="632" t="s">
        <v>1605</v>
      </c>
      <c r="C1552" s="632">
        <v>117</v>
      </c>
    </row>
    <row r="1553" spans="1:3" x14ac:dyDescent="0.25">
      <c r="A1553" s="631">
        <v>4420172</v>
      </c>
      <c r="B1553" s="632" t="s">
        <v>1606</v>
      </c>
      <c r="C1553" s="632">
        <v>117</v>
      </c>
    </row>
    <row r="1554" spans="1:3" x14ac:dyDescent="0.25">
      <c r="A1554" s="631">
        <v>4420173</v>
      </c>
      <c r="B1554" s="632" t="s">
        <v>1607</v>
      </c>
      <c r="C1554" s="632">
        <v>117</v>
      </c>
    </row>
    <row r="1555" spans="1:3" x14ac:dyDescent="0.25">
      <c r="A1555" s="631">
        <v>4420174</v>
      </c>
      <c r="B1555" s="632" t="s">
        <v>1608</v>
      </c>
      <c r="C1555" s="632">
        <v>117</v>
      </c>
    </row>
    <row r="1556" spans="1:3" x14ac:dyDescent="0.25">
      <c r="A1556" s="631">
        <v>4420175</v>
      </c>
      <c r="B1556" s="632" t="s">
        <v>1609</v>
      </c>
      <c r="C1556" s="632">
        <v>117</v>
      </c>
    </row>
    <row r="1557" spans="1:3" x14ac:dyDescent="0.25">
      <c r="A1557" s="631">
        <v>4420176</v>
      </c>
      <c r="B1557" s="632" t="s">
        <v>1610</v>
      </c>
      <c r="C1557" s="632">
        <v>117</v>
      </c>
    </row>
    <row r="1558" spans="1:3" x14ac:dyDescent="0.25">
      <c r="A1558" s="631">
        <v>4420177</v>
      </c>
      <c r="B1558" s="632" t="s">
        <v>1611</v>
      </c>
      <c r="C1558" s="632">
        <v>117</v>
      </c>
    </row>
    <row r="1559" spans="1:3" x14ac:dyDescent="0.25">
      <c r="A1559" s="631">
        <v>4420178</v>
      </c>
      <c r="B1559" s="632" t="s">
        <v>1612</v>
      </c>
      <c r="C1559" s="632">
        <v>117</v>
      </c>
    </row>
    <row r="1560" spans="1:3" x14ac:dyDescent="0.25">
      <c r="A1560" s="631">
        <v>4420179</v>
      </c>
      <c r="B1560" s="632" t="s">
        <v>4315</v>
      </c>
      <c r="C1560" s="632">
        <v>117</v>
      </c>
    </row>
    <row r="1561" spans="1:3" x14ac:dyDescent="0.25">
      <c r="A1561" s="631">
        <v>4420180</v>
      </c>
      <c r="B1561" s="632" t="s">
        <v>4316</v>
      </c>
      <c r="C1561" s="632">
        <v>117</v>
      </c>
    </row>
    <row r="1562" spans="1:3" x14ac:dyDescent="0.25">
      <c r="A1562" s="631">
        <v>4420181</v>
      </c>
      <c r="B1562" s="632" t="s">
        <v>4317</v>
      </c>
      <c r="C1562" s="632">
        <v>117</v>
      </c>
    </row>
    <row r="1563" spans="1:3" x14ac:dyDescent="0.25">
      <c r="A1563" s="631">
        <v>4420182</v>
      </c>
      <c r="B1563" s="632" t="s">
        <v>4318</v>
      </c>
      <c r="C1563" s="632">
        <v>117</v>
      </c>
    </row>
    <row r="1564" spans="1:3" x14ac:dyDescent="0.25">
      <c r="A1564" s="631">
        <v>4420183</v>
      </c>
      <c r="B1564" s="632" t="s">
        <v>4319</v>
      </c>
      <c r="C1564" s="632">
        <v>117</v>
      </c>
    </row>
    <row r="1565" spans="1:3" x14ac:dyDescent="0.25">
      <c r="A1565" s="631">
        <v>4420184</v>
      </c>
      <c r="B1565" s="632" t="s">
        <v>4320</v>
      </c>
      <c r="C1565" s="632">
        <v>117</v>
      </c>
    </row>
    <row r="1566" spans="1:3" x14ac:dyDescent="0.25">
      <c r="A1566" s="631">
        <v>4420185</v>
      </c>
      <c r="B1566" s="632" t="s">
        <v>4321</v>
      </c>
      <c r="C1566" s="632">
        <v>117</v>
      </c>
    </row>
    <row r="1567" spans="1:3" x14ac:dyDescent="0.25">
      <c r="A1567" s="631">
        <v>4420187</v>
      </c>
      <c r="B1567" s="632" t="s">
        <v>4322</v>
      </c>
      <c r="C1567" s="632">
        <v>117</v>
      </c>
    </row>
    <row r="1568" spans="1:3" x14ac:dyDescent="0.25">
      <c r="A1568" s="631">
        <v>4420188</v>
      </c>
      <c r="B1568" s="632" t="s">
        <v>4323</v>
      </c>
      <c r="C1568" s="632">
        <v>117</v>
      </c>
    </row>
    <row r="1569" spans="1:3" x14ac:dyDescent="0.25">
      <c r="A1569" s="631">
        <v>4420189</v>
      </c>
      <c r="B1569" s="632" t="s">
        <v>4324</v>
      </c>
      <c r="C1569" s="632">
        <v>117</v>
      </c>
    </row>
    <row r="1570" spans="1:3" x14ac:dyDescent="0.25">
      <c r="A1570" s="631">
        <v>4420190</v>
      </c>
      <c r="B1570" s="632" t="s">
        <v>1613</v>
      </c>
      <c r="C1570" s="632">
        <v>764</v>
      </c>
    </row>
    <row r="1571" spans="1:3" x14ac:dyDescent="0.25">
      <c r="A1571" s="631">
        <v>4420191</v>
      </c>
      <c r="B1571" s="632" t="s">
        <v>1614</v>
      </c>
      <c r="C1571" s="632">
        <v>0</v>
      </c>
    </row>
    <row r="1572" spans="1:3" x14ac:dyDescent="0.25">
      <c r="A1572" s="631">
        <v>4420192</v>
      </c>
      <c r="B1572" s="632" t="s">
        <v>4325</v>
      </c>
      <c r="C1572" s="632">
        <v>117</v>
      </c>
    </row>
    <row r="1573" spans="1:3" x14ac:dyDescent="0.25">
      <c r="A1573" s="631">
        <v>4420218</v>
      </c>
      <c r="B1573" s="632" t="s">
        <v>1615</v>
      </c>
      <c r="C1573" s="632">
        <v>33</v>
      </c>
    </row>
    <row r="1574" spans="1:3" x14ac:dyDescent="0.25">
      <c r="A1574" s="631">
        <v>4420231</v>
      </c>
      <c r="B1574" s="632" t="s">
        <v>1616</v>
      </c>
      <c r="C1574" s="632">
        <v>180</v>
      </c>
    </row>
    <row r="1575" spans="1:3" x14ac:dyDescent="0.25">
      <c r="A1575" s="631">
        <v>4420232</v>
      </c>
      <c r="B1575" s="632" t="s">
        <v>1617</v>
      </c>
      <c r="C1575" s="632">
        <v>180</v>
      </c>
    </row>
    <row r="1576" spans="1:3" x14ac:dyDescent="0.25">
      <c r="A1576" s="631">
        <v>4420271</v>
      </c>
      <c r="B1576" s="632" t="s">
        <v>1618</v>
      </c>
      <c r="C1576" s="632">
        <v>117</v>
      </c>
    </row>
    <row r="1577" spans="1:3" x14ac:dyDescent="0.25">
      <c r="A1577" s="631">
        <v>4420272</v>
      </c>
      <c r="B1577" s="632" t="s">
        <v>1619</v>
      </c>
      <c r="C1577" s="632">
        <v>117</v>
      </c>
    </row>
    <row r="1578" spans="1:3" x14ac:dyDescent="0.25">
      <c r="A1578" s="631">
        <v>4420273</v>
      </c>
      <c r="B1578" s="632" t="s">
        <v>4326</v>
      </c>
      <c r="C1578" s="632">
        <v>117</v>
      </c>
    </row>
    <row r="1579" spans="1:3" x14ac:dyDescent="0.25">
      <c r="A1579" s="631">
        <v>4420274</v>
      </c>
      <c r="B1579" s="632" t="s">
        <v>4327</v>
      </c>
      <c r="C1579" s="632">
        <v>117</v>
      </c>
    </row>
    <row r="1580" spans="1:3" x14ac:dyDescent="0.25">
      <c r="A1580" s="631">
        <v>4420620</v>
      </c>
      <c r="B1580" s="632" t="s">
        <v>1620</v>
      </c>
      <c r="C1580" s="632">
        <v>164</v>
      </c>
    </row>
    <row r="1581" spans="1:3" x14ac:dyDescent="0.25">
      <c r="A1581" s="631">
        <v>4420626</v>
      </c>
      <c r="B1581" s="632" t="s">
        <v>1621</v>
      </c>
      <c r="C1581" s="632">
        <v>164</v>
      </c>
    </row>
    <row r="1582" spans="1:3" x14ac:dyDescent="0.25">
      <c r="A1582" s="631">
        <v>4420680</v>
      </c>
      <c r="B1582" s="632" t="s">
        <v>1622</v>
      </c>
      <c r="C1582" s="632">
        <v>179</v>
      </c>
    </row>
    <row r="1583" spans="1:3" x14ac:dyDescent="0.25">
      <c r="A1583" s="631">
        <v>4420681</v>
      </c>
      <c r="B1583" s="632" t="s">
        <v>1623</v>
      </c>
      <c r="C1583" s="632">
        <v>179</v>
      </c>
    </row>
    <row r="1584" spans="1:3" x14ac:dyDescent="0.25">
      <c r="A1584" s="631">
        <v>4420682</v>
      </c>
      <c r="B1584" s="632" t="s">
        <v>1624</v>
      </c>
      <c r="C1584" s="632">
        <v>179</v>
      </c>
    </row>
    <row r="1585" spans="1:3" x14ac:dyDescent="0.25">
      <c r="A1585" s="631">
        <v>4421030</v>
      </c>
      <c r="B1585" s="632" t="s">
        <v>1625</v>
      </c>
      <c r="C1585" s="632">
        <v>3730</v>
      </c>
    </row>
    <row r="1586" spans="1:3" x14ac:dyDescent="0.25">
      <c r="A1586" s="631">
        <v>4421033</v>
      </c>
      <c r="B1586" s="632" t="s">
        <v>1626</v>
      </c>
      <c r="C1586" s="632">
        <v>1660</v>
      </c>
    </row>
    <row r="1587" spans="1:3" x14ac:dyDescent="0.25">
      <c r="A1587" s="631">
        <v>4421034</v>
      </c>
      <c r="B1587" s="632" t="s">
        <v>1627</v>
      </c>
      <c r="C1587" s="632">
        <v>1814</v>
      </c>
    </row>
    <row r="1588" spans="1:3" x14ac:dyDescent="0.25">
      <c r="A1588" s="631">
        <v>4421070</v>
      </c>
      <c r="B1588" s="632" t="s">
        <v>1628</v>
      </c>
      <c r="C1588" s="632">
        <v>3730</v>
      </c>
    </row>
    <row r="1589" spans="1:3" x14ac:dyDescent="0.25">
      <c r="A1589" s="631">
        <v>4421530</v>
      </c>
      <c r="B1589" s="632" t="s">
        <v>1629</v>
      </c>
      <c r="C1589" s="632">
        <v>3730</v>
      </c>
    </row>
    <row r="1590" spans="1:3" x14ac:dyDescent="0.25">
      <c r="A1590" s="631">
        <v>4421570</v>
      </c>
      <c r="B1590" s="632" t="s">
        <v>1630</v>
      </c>
      <c r="C1590" s="632">
        <v>3730</v>
      </c>
    </row>
    <row r="1591" spans="1:3" x14ac:dyDescent="0.25">
      <c r="A1591" s="631">
        <v>4421630</v>
      </c>
      <c r="B1591" s="632" t="s">
        <v>1631</v>
      </c>
      <c r="C1591" s="632">
        <v>3730</v>
      </c>
    </row>
    <row r="1592" spans="1:3" x14ac:dyDescent="0.25">
      <c r="A1592" s="631">
        <v>4421633</v>
      </c>
      <c r="B1592" s="632" t="s">
        <v>1632</v>
      </c>
      <c r="C1592" s="632">
        <v>1660</v>
      </c>
    </row>
    <row r="1593" spans="1:3" x14ac:dyDescent="0.25">
      <c r="A1593" s="631">
        <v>4421634</v>
      </c>
      <c r="B1593" s="632" t="s">
        <v>1633</v>
      </c>
      <c r="C1593" s="632">
        <v>1660</v>
      </c>
    </row>
    <row r="1594" spans="1:3" x14ac:dyDescent="0.25">
      <c r="A1594" s="631">
        <v>4421670</v>
      </c>
      <c r="B1594" s="632" t="s">
        <v>1634</v>
      </c>
      <c r="C1594" s="632">
        <v>3730</v>
      </c>
    </row>
    <row r="1595" spans="1:3" x14ac:dyDescent="0.25">
      <c r="A1595" s="631">
        <v>4421673</v>
      </c>
      <c r="B1595" s="632" t="s">
        <v>1635</v>
      </c>
      <c r="C1595" s="632">
        <v>1660</v>
      </c>
    </row>
    <row r="1596" spans="1:3" x14ac:dyDescent="0.25">
      <c r="A1596" s="631">
        <v>4421674</v>
      </c>
      <c r="B1596" s="632" t="s">
        <v>1636</v>
      </c>
      <c r="C1596" s="632">
        <v>1660</v>
      </c>
    </row>
    <row r="1597" spans="1:3" x14ac:dyDescent="0.25">
      <c r="A1597" s="631">
        <v>4422030</v>
      </c>
      <c r="B1597" s="632" t="s">
        <v>1637</v>
      </c>
      <c r="C1597" s="632">
        <v>3730</v>
      </c>
    </row>
    <row r="1598" spans="1:3" x14ac:dyDescent="0.25">
      <c r="A1598" s="631">
        <v>4422033</v>
      </c>
      <c r="B1598" s="632" t="s">
        <v>1638</v>
      </c>
      <c r="C1598" s="632">
        <v>1814</v>
      </c>
    </row>
    <row r="1599" spans="1:3" x14ac:dyDescent="0.25">
      <c r="A1599" s="631">
        <v>4422034</v>
      </c>
      <c r="B1599" s="632" t="s">
        <v>1639</v>
      </c>
      <c r="C1599" s="632">
        <v>1814</v>
      </c>
    </row>
    <row r="1600" spans="1:3" x14ac:dyDescent="0.25">
      <c r="A1600" s="631">
        <v>4422070</v>
      </c>
      <c r="B1600" s="632" t="s">
        <v>1640</v>
      </c>
      <c r="C1600" s="632">
        <v>3730</v>
      </c>
    </row>
    <row r="1601" spans="1:3" x14ac:dyDescent="0.25">
      <c r="A1601" s="631">
        <v>4422530</v>
      </c>
      <c r="B1601" s="632" t="s">
        <v>1641</v>
      </c>
      <c r="C1601" s="632">
        <v>3730</v>
      </c>
    </row>
    <row r="1602" spans="1:3" x14ac:dyDescent="0.25">
      <c r="A1602" s="631">
        <v>4422570</v>
      </c>
      <c r="B1602" s="632" t="s">
        <v>1642</v>
      </c>
      <c r="C1602" s="632">
        <v>3730</v>
      </c>
    </row>
    <row r="1603" spans="1:3" x14ac:dyDescent="0.25">
      <c r="A1603" s="631">
        <v>4422630</v>
      </c>
      <c r="B1603" s="632" t="s">
        <v>1643</v>
      </c>
      <c r="C1603" s="632">
        <v>3730</v>
      </c>
    </row>
    <row r="1604" spans="1:3" x14ac:dyDescent="0.25">
      <c r="A1604" s="631">
        <v>4422633</v>
      </c>
      <c r="B1604" s="632" t="s">
        <v>1644</v>
      </c>
      <c r="C1604" s="632">
        <v>1660</v>
      </c>
    </row>
    <row r="1605" spans="1:3" x14ac:dyDescent="0.25">
      <c r="A1605" s="631">
        <v>4422634</v>
      </c>
      <c r="B1605" s="632" t="s">
        <v>1645</v>
      </c>
      <c r="C1605" s="632">
        <v>1660</v>
      </c>
    </row>
    <row r="1606" spans="1:3" x14ac:dyDescent="0.25">
      <c r="A1606" s="631">
        <v>4422670</v>
      </c>
      <c r="B1606" s="632" t="s">
        <v>1646</v>
      </c>
      <c r="C1606" s="632">
        <v>3730</v>
      </c>
    </row>
    <row r="1607" spans="1:3" x14ac:dyDescent="0.25">
      <c r="A1607" s="631">
        <v>4422673</v>
      </c>
      <c r="B1607" s="632" t="s">
        <v>1647</v>
      </c>
      <c r="C1607" s="632">
        <v>1660</v>
      </c>
    </row>
    <row r="1608" spans="1:3" x14ac:dyDescent="0.25">
      <c r="A1608" s="631">
        <v>4422674</v>
      </c>
      <c r="B1608" s="632" t="s">
        <v>1648</v>
      </c>
      <c r="C1608" s="632">
        <v>1660</v>
      </c>
    </row>
    <row r="1609" spans="1:3" x14ac:dyDescent="0.25">
      <c r="A1609" s="631">
        <v>4423030</v>
      </c>
      <c r="B1609" s="632" t="s">
        <v>1649</v>
      </c>
      <c r="C1609" s="632">
        <v>3730</v>
      </c>
    </row>
    <row r="1610" spans="1:3" x14ac:dyDescent="0.25">
      <c r="A1610" s="631">
        <v>4423033</v>
      </c>
      <c r="B1610" s="632" t="s">
        <v>1650</v>
      </c>
      <c r="C1610" s="632">
        <v>1814</v>
      </c>
    </row>
    <row r="1611" spans="1:3" x14ac:dyDescent="0.25">
      <c r="A1611" s="631">
        <v>4423034</v>
      </c>
      <c r="B1611" s="632" t="s">
        <v>1651</v>
      </c>
      <c r="C1611" s="632">
        <v>1814</v>
      </c>
    </row>
    <row r="1612" spans="1:3" x14ac:dyDescent="0.25">
      <c r="A1612" s="631">
        <v>4423070</v>
      </c>
      <c r="B1612" s="632" t="s">
        <v>1652</v>
      </c>
      <c r="C1612" s="632">
        <v>3730</v>
      </c>
    </row>
    <row r="1613" spans="1:3" x14ac:dyDescent="0.25">
      <c r="A1613" s="631">
        <v>4423530</v>
      </c>
      <c r="B1613" s="632" t="s">
        <v>1653</v>
      </c>
      <c r="C1613" s="632">
        <v>3730</v>
      </c>
    </row>
    <row r="1614" spans="1:3" x14ac:dyDescent="0.25">
      <c r="A1614" s="631">
        <v>4423570</v>
      </c>
      <c r="B1614" s="632" t="s">
        <v>1654</v>
      </c>
      <c r="C1614" s="632">
        <v>3730</v>
      </c>
    </row>
    <row r="1615" spans="1:3" x14ac:dyDescent="0.25">
      <c r="A1615" s="631">
        <v>4423630</v>
      </c>
      <c r="B1615" s="632" t="s">
        <v>1655</v>
      </c>
      <c r="C1615" s="632">
        <v>3730</v>
      </c>
    </row>
    <row r="1616" spans="1:3" x14ac:dyDescent="0.25">
      <c r="A1616" s="631">
        <v>4423633</v>
      </c>
      <c r="B1616" s="632" t="s">
        <v>1656</v>
      </c>
      <c r="C1616" s="632">
        <v>1660</v>
      </c>
    </row>
    <row r="1617" spans="1:5" x14ac:dyDescent="0.25">
      <c r="A1617" s="631">
        <v>4423634</v>
      </c>
      <c r="B1617" s="632" t="s">
        <v>1657</v>
      </c>
      <c r="C1617" s="632">
        <v>1660</v>
      </c>
    </row>
    <row r="1618" spans="1:5" x14ac:dyDescent="0.25">
      <c r="A1618" s="631">
        <v>4423670</v>
      </c>
      <c r="B1618" s="632" t="s">
        <v>1658</v>
      </c>
      <c r="C1618" s="632">
        <v>3730</v>
      </c>
    </row>
    <row r="1619" spans="1:5" x14ac:dyDescent="0.25">
      <c r="A1619" s="631">
        <v>4423673</v>
      </c>
      <c r="B1619" s="632" t="s">
        <v>1659</v>
      </c>
      <c r="C1619" s="632">
        <v>1660</v>
      </c>
    </row>
    <row r="1620" spans="1:5" x14ac:dyDescent="0.25">
      <c r="A1620" s="631">
        <v>4423674</v>
      </c>
      <c r="B1620" s="632" t="s">
        <v>1660</v>
      </c>
      <c r="C1620" s="632">
        <v>1660</v>
      </c>
    </row>
    <row r="1621" spans="1:5" x14ac:dyDescent="0.25">
      <c r="A1621" s="633">
        <v>4500000</v>
      </c>
      <c r="B1621" s="632" t="s">
        <v>1661</v>
      </c>
      <c r="C1621" s="632">
        <v>909</v>
      </c>
      <c r="E1621">
        <v>1100306</v>
      </c>
    </row>
    <row r="1622" spans="1:5" x14ac:dyDescent="0.25">
      <c r="A1622" s="631">
        <v>4500001</v>
      </c>
      <c r="B1622" s="632" t="s">
        <v>1662</v>
      </c>
      <c r="C1622" s="632">
        <v>438</v>
      </c>
    </row>
    <row r="1623" spans="1:5" x14ac:dyDescent="0.25">
      <c r="A1623" s="631">
        <v>4500011</v>
      </c>
      <c r="B1623" s="632" t="s">
        <v>1663</v>
      </c>
      <c r="C1623" s="632">
        <v>994</v>
      </c>
    </row>
    <row r="1624" spans="1:5" x14ac:dyDescent="0.25">
      <c r="A1624" s="631">
        <v>4500012</v>
      </c>
      <c r="B1624" s="632" t="s">
        <v>1664</v>
      </c>
      <c r="C1624" s="632">
        <v>438</v>
      </c>
    </row>
    <row r="1625" spans="1:5" x14ac:dyDescent="0.25">
      <c r="A1625" s="631">
        <v>4500018</v>
      </c>
      <c r="B1625" s="632" t="s">
        <v>1665</v>
      </c>
      <c r="C1625" s="632">
        <v>430</v>
      </c>
    </row>
    <row r="1626" spans="1:5" x14ac:dyDescent="0.25">
      <c r="A1626" s="631">
        <v>4500019</v>
      </c>
      <c r="B1626" s="632" t="s">
        <v>1666</v>
      </c>
      <c r="C1626" s="632">
        <v>909</v>
      </c>
    </row>
    <row r="1627" spans="1:5" x14ac:dyDescent="0.25">
      <c r="A1627" s="631">
        <v>4500020</v>
      </c>
      <c r="B1627" s="632" t="s">
        <v>1667</v>
      </c>
      <c r="C1627" s="632">
        <v>438</v>
      </c>
    </row>
    <row r="1628" spans="1:5" x14ac:dyDescent="0.25">
      <c r="A1628" s="631">
        <v>4500021</v>
      </c>
      <c r="B1628" s="632" t="s">
        <v>1668</v>
      </c>
      <c r="C1628" s="632">
        <v>909</v>
      </c>
    </row>
    <row r="1629" spans="1:5" x14ac:dyDescent="0.25">
      <c r="A1629" s="631">
        <v>4500100</v>
      </c>
      <c r="B1629" s="632" t="s">
        <v>1669</v>
      </c>
      <c r="C1629" s="632">
        <v>909</v>
      </c>
    </row>
    <row r="1630" spans="1:5" x14ac:dyDescent="0.25">
      <c r="A1630" s="631">
        <v>4500101</v>
      </c>
      <c r="B1630" s="632" t="s">
        <v>1670</v>
      </c>
      <c r="C1630" s="632">
        <v>430</v>
      </c>
    </row>
    <row r="1631" spans="1:5" x14ac:dyDescent="0.25">
      <c r="A1631" s="631">
        <v>4500111</v>
      </c>
      <c r="B1631" s="632" t="s">
        <v>1671</v>
      </c>
      <c r="C1631" s="632">
        <v>909</v>
      </c>
    </row>
    <row r="1632" spans="1:5" x14ac:dyDescent="0.25">
      <c r="A1632" s="631">
        <v>4500112</v>
      </c>
      <c r="B1632" s="632" t="s">
        <v>1672</v>
      </c>
      <c r="C1632" s="632">
        <v>438</v>
      </c>
    </row>
    <row r="1633" spans="1:3" x14ac:dyDescent="0.25">
      <c r="A1633" s="631">
        <v>4500120</v>
      </c>
      <c r="B1633" s="632" t="s">
        <v>1673</v>
      </c>
      <c r="C1633" s="632">
        <v>1638</v>
      </c>
    </row>
    <row r="1634" spans="1:3" x14ac:dyDescent="0.25">
      <c r="A1634" s="631">
        <v>4500122</v>
      </c>
      <c r="B1634" s="632" t="s">
        <v>1674</v>
      </c>
      <c r="C1634" s="632">
        <v>1638</v>
      </c>
    </row>
    <row r="1635" spans="1:3" x14ac:dyDescent="0.25">
      <c r="A1635" s="631">
        <v>4500124</v>
      </c>
      <c r="B1635" s="632" t="s">
        <v>1675</v>
      </c>
      <c r="C1635" s="632">
        <v>1638</v>
      </c>
    </row>
    <row r="1636" spans="1:3" x14ac:dyDescent="0.25">
      <c r="A1636" s="631">
        <v>4500220</v>
      </c>
      <c r="B1636" s="632" t="s">
        <v>1676</v>
      </c>
      <c r="C1636" s="632">
        <v>1638</v>
      </c>
    </row>
    <row r="1637" spans="1:3" x14ac:dyDescent="0.25">
      <c r="A1637" s="631">
        <v>4500222</v>
      </c>
      <c r="B1637" s="632" t="s">
        <v>1677</v>
      </c>
      <c r="C1637" s="632">
        <v>1638</v>
      </c>
    </row>
    <row r="1638" spans="1:3" x14ac:dyDescent="0.25">
      <c r="A1638" s="631">
        <v>4500224</v>
      </c>
      <c r="B1638" s="632" t="s">
        <v>1678</v>
      </c>
      <c r="C1638" s="632">
        <v>1638</v>
      </c>
    </row>
    <row r="1639" spans="1:3" x14ac:dyDescent="0.25">
      <c r="A1639" s="631">
        <v>4500320</v>
      </c>
      <c r="B1639" s="632" t="s">
        <v>1679</v>
      </c>
      <c r="C1639" s="632">
        <v>1638</v>
      </c>
    </row>
    <row r="1640" spans="1:3" x14ac:dyDescent="0.25">
      <c r="A1640" s="631">
        <v>4500322</v>
      </c>
      <c r="B1640" s="632" t="s">
        <v>1680</v>
      </c>
      <c r="C1640" s="632">
        <v>1638</v>
      </c>
    </row>
    <row r="1641" spans="1:3" x14ac:dyDescent="0.25">
      <c r="A1641" s="631">
        <v>4500324</v>
      </c>
      <c r="B1641" s="632" t="s">
        <v>1681</v>
      </c>
      <c r="C1641" s="632">
        <v>1638</v>
      </c>
    </row>
    <row r="1642" spans="1:3" x14ac:dyDescent="0.25">
      <c r="A1642" s="631">
        <v>4500420</v>
      </c>
      <c r="B1642" s="632" t="s">
        <v>1682</v>
      </c>
      <c r="C1642" s="632">
        <v>1638</v>
      </c>
    </row>
    <row r="1643" spans="1:3" x14ac:dyDescent="0.25">
      <c r="A1643" s="631">
        <v>4500422</v>
      </c>
      <c r="B1643" s="632" t="s">
        <v>1683</v>
      </c>
      <c r="C1643" s="632">
        <v>1638</v>
      </c>
    </row>
    <row r="1644" spans="1:3" x14ac:dyDescent="0.25">
      <c r="A1644" s="631">
        <v>4500424</v>
      </c>
      <c r="B1644" s="632" t="s">
        <v>1684</v>
      </c>
      <c r="C1644" s="632">
        <v>1638</v>
      </c>
    </row>
    <row r="1645" spans="1:3" x14ac:dyDescent="0.25">
      <c r="A1645" s="631">
        <v>4500518</v>
      </c>
      <c r="B1645" s="632" t="s">
        <v>1685</v>
      </c>
      <c r="C1645" s="632">
        <v>1560</v>
      </c>
    </row>
    <row r="1646" spans="1:3" x14ac:dyDescent="0.25">
      <c r="A1646" s="631">
        <v>4500520</v>
      </c>
      <c r="B1646" s="632" t="s">
        <v>1686</v>
      </c>
      <c r="C1646" s="632">
        <v>1560</v>
      </c>
    </row>
    <row r="1647" spans="1:3" x14ac:dyDescent="0.25">
      <c r="A1647" s="631">
        <v>4500618</v>
      </c>
      <c r="B1647" s="632" t="s">
        <v>1687</v>
      </c>
      <c r="C1647" s="632">
        <v>1560</v>
      </c>
    </row>
    <row r="1648" spans="1:3" x14ac:dyDescent="0.25">
      <c r="A1648" s="631">
        <v>4500620</v>
      </c>
      <c r="B1648" s="632" t="s">
        <v>1688</v>
      </c>
      <c r="C1648" s="632">
        <v>1560</v>
      </c>
    </row>
    <row r="1649" spans="1:3" x14ac:dyDescent="0.25">
      <c r="A1649" s="631">
        <v>4500718</v>
      </c>
      <c r="B1649" s="632" t="s">
        <v>1689</v>
      </c>
      <c r="C1649" s="632">
        <v>1560</v>
      </c>
    </row>
    <row r="1650" spans="1:3" x14ac:dyDescent="0.25">
      <c r="A1650" s="631">
        <v>4500720</v>
      </c>
      <c r="B1650" s="632" t="s">
        <v>1690</v>
      </c>
      <c r="C1650" s="632">
        <v>1560</v>
      </c>
    </row>
    <row r="1651" spans="1:3" x14ac:dyDescent="0.25">
      <c r="A1651" s="631">
        <v>4500818</v>
      </c>
      <c r="B1651" s="632" t="s">
        <v>1691</v>
      </c>
      <c r="C1651" s="632">
        <v>1560</v>
      </c>
    </row>
    <row r="1652" spans="1:3" x14ac:dyDescent="0.25">
      <c r="A1652" s="631">
        <v>4500820</v>
      </c>
      <c r="B1652" s="632" t="s">
        <v>1692</v>
      </c>
      <c r="C1652" s="632">
        <v>1560</v>
      </c>
    </row>
    <row r="1653" spans="1:3" x14ac:dyDescent="0.25">
      <c r="A1653" s="631">
        <v>4600008</v>
      </c>
      <c r="B1653" s="632" t="s">
        <v>1693</v>
      </c>
      <c r="C1653" s="632">
        <v>52</v>
      </c>
    </row>
    <row r="1654" spans="1:3" x14ac:dyDescent="0.25">
      <c r="A1654" s="631">
        <v>4600042</v>
      </c>
      <c r="B1654" s="632" t="s">
        <v>1694</v>
      </c>
      <c r="C1654" s="632">
        <v>45</v>
      </c>
    </row>
    <row r="1655" spans="1:3" x14ac:dyDescent="0.25">
      <c r="A1655" s="631">
        <v>4600100</v>
      </c>
      <c r="B1655" s="632" t="s">
        <v>1695</v>
      </c>
      <c r="C1655" s="632">
        <v>1634</v>
      </c>
    </row>
    <row r="1656" spans="1:3" x14ac:dyDescent="0.25">
      <c r="A1656" s="631">
        <v>4600200</v>
      </c>
      <c r="B1656" s="632" t="s">
        <v>1695</v>
      </c>
      <c r="C1656" s="632">
        <v>1634</v>
      </c>
    </row>
    <row r="1657" spans="1:3" x14ac:dyDescent="0.25">
      <c r="A1657" s="631">
        <v>4601115</v>
      </c>
      <c r="B1657" s="632" t="s">
        <v>1696</v>
      </c>
      <c r="C1657" s="632">
        <v>133</v>
      </c>
    </row>
    <row r="1658" spans="1:3" x14ac:dyDescent="0.25">
      <c r="A1658" s="631">
        <v>4601120</v>
      </c>
      <c r="B1658" s="632" t="s">
        <v>1697</v>
      </c>
      <c r="C1658" s="632">
        <v>88</v>
      </c>
    </row>
    <row r="1659" spans="1:3" x14ac:dyDescent="0.25">
      <c r="A1659" s="631">
        <v>4601901</v>
      </c>
      <c r="B1659" s="632" t="s">
        <v>1698</v>
      </c>
      <c r="C1659" s="632">
        <v>180</v>
      </c>
    </row>
    <row r="1660" spans="1:3" x14ac:dyDescent="0.25">
      <c r="A1660" s="631">
        <v>4620110</v>
      </c>
      <c r="B1660" s="632" t="s">
        <v>1699</v>
      </c>
      <c r="C1660" s="632">
        <v>82</v>
      </c>
    </row>
    <row r="1661" spans="1:3" x14ac:dyDescent="0.25">
      <c r="A1661" s="631">
        <v>4620133</v>
      </c>
      <c r="B1661" s="632" t="s">
        <v>1700</v>
      </c>
      <c r="C1661" s="632">
        <v>461</v>
      </c>
    </row>
    <row r="1662" spans="1:3" x14ac:dyDescent="0.25">
      <c r="A1662" s="631">
        <v>4620136</v>
      </c>
      <c r="B1662" s="632" t="s">
        <v>1701</v>
      </c>
      <c r="C1662" s="632">
        <v>461</v>
      </c>
    </row>
    <row r="1663" spans="1:3" x14ac:dyDescent="0.25">
      <c r="A1663" s="631">
        <v>4620139</v>
      </c>
      <c r="B1663" s="632" t="s">
        <v>1702</v>
      </c>
      <c r="C1663" s="632">
        <v>461</v>
      </c>
    </row>
    <row r="1664" spans="1:3" x14ac:dyDescent="0.25">
      <c r="A1664" s="631">
        <v>4620142</v>
      </c>
      <c r="B1664" s="632" t="s">
        <v>1703</v>
      </c>
      <c r="C1664" s="632">
        <v>461</v>
      </c>
    </row>
    <row r="1665" spans="1:3" x14ac:dyDescent="0.25">
      <c r="A1665" s="631">
        <v>4620145</v>
      </c>
      <c r="B1665" s="632" t="s">
        <v>1704</v>
      </c>
      <c r="C1665" s="632">
        <v>461</v>
      </c>
    </row>
    <row r="1666" spans="1:3" x14ac:dyDescent="0.25">
      <c r="A1666" s="631">
        <v>4620147</v>
      </c>
      <c r="B1666" s="632" t="s">
        <v>1705</v>
      </c>
      <c r="C1666" s="632">
        <v>0</v>
      </c>
    </row>
    <row r="1667" spans="1:3" x14ac:dyDescent="0.25">
      <c r="A1667" s="631">
        <v>4620155</v>
      </c>
      <c r="B1667" s="632" t="s">
        <v>1706</v>
      </c>
      <c r="C1667" s="632">
        <v>83</v>
      </c>
    </row>
    <row r="1668" spans="1:3" x14ac:dyDescent="0.25">
      <c r="A1668" s="631">
        <v>4620156</v>
      </c>
      <c r="B1668" s="632" t="s">
        <v>4328</v>
      </c>
      <c r="C1668" s="632">
        <v>0</v>
      </c>
    </row>
    <row r="1669" spans="1:3" x14ac:dyDescent="0.25">
      <c r="A1669" s="631">
        <v>4620233</v>
      </c>
      <c r="B1669" s="632" t="s">
        <v>4329</v>
      </c>
      <c r="C1669" s="632">
        <v>0</v>
      </c>
    </row>
    <row r="1670" spans="1:3" x14ac:dyDescent="0.25">
      <c r="A1670" s="631">
        <v>4620236</v>
      </c>
      <c r="B1670" s="632" t="s">
        <v>4330</v>
      </c>
      <c r="C1670" s="632">
        <v>0</v>
      </c>
    </row>
    <row r="1671" spans="1:3" x14ac:dyDescent="0.25">
      <c r="A1671" s="631">
        <v>4620239</v>
      </c>
      <c r="B1671" s="632" t="s">
        <v>4331</v>
      </c>
      <c r="C1671" s="632">
        <v>0</v>
      </c>
    </row>
    <row r="1672" spans="1:3" x14ac:dyDescent="0.25">
      <c r="A1672" s="631">
        <v>4620242</v>
      </c>
      <c r="B1672" s="632" t="s">
        <v>4332</v>
      </c>
      <c r="C1672" s="632">
        <v>0</v>
      </c>
    </row>
    <row r="1673" spans="1:3" x14ac:dyDescent="0.25">
      <c r="A1673" s="631">
        <v>4620245</v>
      </c>
      <c r="B1673" s="632" t="s">
        <v>4333</v>
      </c>
      <c r="C1673" s="632">
        <v>0</v>
      </c>
    </row>
    <row r="1674" spans="1:3" x14ac:dyDescent="0.25">
      <c r="A1674" s="631">
        <v>4623301</v>
      </c>
      <c r="B1674" s="632" t="s">
        <v>1707</v>
      </c>
      <c r="C1674" s="632">
        <v>4355</v>
      </c>
    </row>
    <row r="1675" spans="1:3" x14ac:dyDescent="0.25">
      <c r="A1675" s="631">
        <v>4623302</v>
      </c>
      <c r="B1675" s="632" t="s">
        <v>1708</v>
      </c>
      <c r="C1675" s="632">
        <v>3984</v>
      </c>
    </row>
    <row r="1676" spans="1:3" x14ac:dyDescent="0.25">
      <c r="A1676" s="631">
        <v>4623601</v>
      </c>
      <c r="B1676" s="632" t="s">
        <v>1709</v>
      </c>
      <c r="C1676" s="632">
        <v>3984</v>
      </c>
    </row>
    <row r="1677" spans="1:3" x14ac:dyDescent="0.25">
      <c r="A1677" s="631">
        <v>4623602</v>
      </c>
      <c r="B1677" s="632" t="s">
        <v>1710</v>
      </c>
      <c r="C1677" s="632">
        <v>3984</v>
      </c>
    </row>
    <row r="1678" spans="1:3" x14ac:dyDescent="0.25">
      <c r="A1678" s="631">
        <v>4623901</v>
      </c>
      <c r="B1678" s="632" t="s">
        <v>1711</v>
      </c>
      <c r="C1678" s="632">
        <v>3984</v>
      </c>
    </row>
    <row r="1679" spans="1:3" x14ac:dyDescent="0.25">
      <c r="A1679" s="631">
        <v>4623902</v>
      </c>
      <c r="B1679" s="632" t="s">
        <v>1712</v>
      </c>
      <c r="C1679" s="632">
        <v>3984</v>
      </c>
    </row>
    <row r="1680" spans="1:3" x14ac:dyDescent="0.25">
      <c r="A1680" s="631">
        <v>4624201</v>
      </c>
      <c r="B1680" s="632" t="s">
        <v>1713</v>
      </c>
      <c r="C1680" s="632">
        <v>3984</v>
      </c>
    </row>
    <row r="1681" spans="1:3" x14ac:dyDescent="0.25">
      <c r="A1681" s="631">
        <v>4624202</v>
      </c>
      <c r="B1681" s="632" t="s">
        <v>1714</v>
      </c>
      <c r="C1681" s="632">
        <v>3984</v>
      </c>
    </row>
    <row r="1682" spans="1:3" x14ac:dyDescent="0.25">
      <c r="A1682" s="631">
        <v>4624501</v>
      </c>
      <c r="B1682" s="632" t="s">
        <v>1715</v>
      </c>
      <c r="C1682" s="632">
        <v>3984</v>
      </c>
    </row>
    <row r="1683" spans="1:3" x14ac:dyDescent="0.25">
      <c r="A1683" s="631">
        <v>4624502</v>
      </c>
      <c r="B1683" s="632" t="s">
        <v>1716</v>
      </c>
      <c r="C1683" s="632">
        <v>4355</v>
      </c>
    </row>
    <row r="1684" spans="1:3" x14ac:dyDescent="0.25">
      <c r="A1684" s="631">
        <v>4630000</v>
      </c>
      <c r="B1684" s="632" t="s">
        <v>1717</v>
      </c>
      <c r="C1684" s="632">
        <v>942</v>
      </c>
    </row>
    <row r="1685" spans="1:3" x14ac:dyDescent="0.25">
      <c r="A1685" s="631">
        <v>4630001</v>
      </c>
      <c r="B1685" s="632" t="s">
        <v>1718</v>
      </c>
      <c r="C1685" s="632">
        <v>471</v>
      </c>
    </row>
    <row r="1686" spans="1:3" x14ac:dyDescent="0.25">
      <c r="A1686" s="631">
        <v>4630002</v>
      </c>
      <c r="B1686" s="632" t="s">
        <v>1719</v>
      </c>
      <c r="C1686" s="632">
        <v>471</v>
      </c>
    </row>
    <row r="1687" spans="1:3" x14ac:dyDescent="0.25">
      <c r="A1687" s="631">
        <v>4630010</v>
      </c>
      <c r="B1687" s="632" t="s">
        <v>1720</v>
      </c>
      <c r="C1687" s="632">
        <v>942</v>
      </c>
    </row>
    <row r="1688" spans="1:3" x14ac:dyDescent="0.25">
      <c r="A1688" s="631">
        <v>4630011</v>
      </c>
      <c r="B1688" s="632" t="s">
        <v>1721</v>
      </c>
      <c r="C1688" s="632">
        <v>471</v>
      </c>
    </row>
    <row r="1689" spans="1:3" x14ac:dyDescent="0.25">
      <c r="A1689" s="631">
        <v>4630012</v>
      </c>
      <c r="B1689" s="632" t="s">
        <v>1722</v>
      </c>
      <c r="C1689" s="632">
        <v>471</v>
      </c>
    </row>
    <row r="1690" spans="1:3" x14ac:dyDescent="0.25">
      <c r="A1690" s="631">
        <v>4630020</v>
      </c>
      <c r="B1690" s="632" t="s">
        <v>1723</v>
      </c>
      <c r="C1690" s="632">
        <v>1963</v>
      </c>
    </row>
    <row r="1691" spans="1:3" x14ac:dyDescent="0.25">
      <c r="A1691" s="631">
        <v>4630021</v>
      </c>
      <c r="B1691" s="632" t="s">
        <v>1724</v>
      </c>
      <c r="C1691" s="632">
        <v>982</v>
      </c>
    </row>
    <row r="1692" spans="1:3" x14ac:dyDescent="0.25">
      <c r="A1692" s="631">
        <v>4630022</v>
      </c>
      <c r="B1692" s="632" t="s">
        <v>1725</v>
      </c>
      <c r="C1692" s="632">
        <v>982</v>
      </c>
    </row>
    <row r="1693" spans="1:3" x14ac:dyDescent="0.25">
      <c r="A1693" s="631">
        <v>4630030</v>
      </c>
      <c r="B1693" s="632" t="s">
        <v>1726</v>
      </c>
      <c r="C1693" s="632">
        <v>2145</v>
      </c>
    </row>
    <row r="1694" spans="1:3" x14ac:dyDescent="0.25">
      <c r="A1694" s="631">
        <v>4630031</v>
      </c>
      <c r="B1694" s="632" t="s">
        <v>1727</v>
      </c>
      <c r="C1694" s="632">
        <v>1124</v>
      </c>
    </row>
    <row r="1695" spans="1:3" x14ac:dyDescent="0.25">
      <c r="A1695" s="631">
        <v>4630032</v>
      </c>
      <c r="B1695" s="632" t="s">
        <v>1728</v>
      </c>
      <c r="C1695" s="632">
        <v>1124</v>
      </c>
    </row>
    <row r="1696" spans="1:3" x14ac:dyDescent="0.25">
      <c r="A1696" s="631">
        <v>4630113</v>
      </c>
      <c r="B1696" s="632" t="s">
        <v>1729</v>
      </c>
      <c r="C1696" s="632">
        <v>174</v>
      </c>
    </row>
    <row r="1697" spans="1:3" x14ac:dyDescent="0.25">
      <c r="A1697" s="631">
        <v>4630114</v>
      </c>
      <c r="B1697" s="632" t="s">
        <v>1730</v>
      </c>
      <c r="C1697" s="632">
        <v>174</v>
      </c>
    </row>
    <row r="1698" spans="1:3" x14ac:dyDescent="0.25">
      <c r="A1698" s="631">
        <v>4630116</v>
      </c>
      <c r="B1698" s="632" t="s">
        <v>1731</v>
      </c>
      <c r="C1698" s="632">
        <v>61</v>
      </c>
    </row>
    <row r="1699" spans="1:3" x14ac:dyDescent="0.25">
      <c r="A1699" s="631">
        <v>4630120</v>
      </c>
      <c r="B1699" s="632" t="s">
        <v>1732</v>
      </c>
      <c r="C1699" s="632">
        <v>409</v>
      </c>
    </row>
    <row r="1700" spans="1:3" x14ac:dyDescent="0.25">
      <c r="A1700" s="631">
        <v>4630123</v>
      </c>
      <c r="B1700" s="632" t="s">
        <v>1733</v>
      </c>
      <c r="C1700" s="632">
        <v>164</v>
      </c>
    </row>
    <row r="1701" spans="1:3" x14ac:dyDescent="0.25">
      <c r="A1701" s="631">
        <v>4630124</v>
      </c>
      <c r="B1701" s="632" t="s">
        <v>1734</v>
      </c>
      <c r="C1701" s="632">
        <v>164</v>
      </c>
    </row>
    <row r="1702" spans="1:3" x14ac:dyDescent="0.25">
      <c r="A1702" s="631">
        <v>4630146</v>
      </c>
      <c r="B1702" s="632" t="s">
        <v>1735</v>
      </c>
      <c r="C1702" s="632">
        <v>129</v>
      </c>
    </row>
    <row r="1703" spans="1:3" x14ac:dyDescent="0.25">
      <c r="A1703" s="631">
        <v>4630150</v>
      </c>
      <c r="B1703" s="632" t="s">
        <v>1736</v>
      </c>
      <c r="C1703" s="632">
        <v>293</v>
      </c>
    </row>
    <row r="1704" spans="1:3" x14ac:dyDescent="0.25">
      <c r="A1704" s="631">
        <v>4630200</v>
      </c>
      <c r="B1704" s="632" t="s">
        <v>1737</v>
      </c>
      <c r="C1704" s="632">
        <v>879</v>
      </c>
    </row>
    <row r="1705" spans="1:3" x14ac:dyDescent="0.25">
      <c r="A1705" s="631">
        <v>4630201</v>
      </c>
      <c r="B1705" s="632" t="s">
        <v>1738</v>
      </c>
      <c r="C1705" s="632">
        <v>439</v>
      </c>
    </row>
    <row r="1706" spans="1:3" x14ac:dyDescent="0.25">
      <c r="A1706" s="631">
        <v>4630202</v>
      </c>
      <c r="B1706" s="632" t="s">
        <v>1739</v>
      </c>
      <c r="C1706" s="632">
        <v>439</v>
      </c>
    </row>
    <row r="1707" spans="1:3" x14ac:dyDescent="0.25">
      <c r="A1707" s="631">
        <v>4630227</v>
      </c>
      <c r="B1707" s="632" t="s">
        <v>1740</v>
      </c>
      <c r="C1707" s="632">
        <v>85</v>
      </c>
    </row>
    <row r="1708" spans="1:3" x14ac:dyDescent="0.25">
      <c r="A1708" s="631">
        <v>4630233</v>
      </c>
      <c r="B1708" s="632" t="s">
        <v>1741</v>
      </c>
      <c r="C1708" s="632">
        <v>114</v>
      </c>
    </row>
    <row r="1709" spans="1:3" x14ac:dyDescent="0.25">
      <c r="A1709" s="631">
        <v>4630234</v>
      </c>
      <c r="B1709" s="632" t="s">
        <v>1742</v>
      </c>
      <c r="C1709" s="632">
        <v>273</v>
      </c>
    </row>
    <row r="1710" spans="1:3" x14ac:dyDescent="0.25">
      <c r="A1710" s="631">
        <v>4630235</v>
      </c>
      <c r="B1710" s="632" t="s">
        <v>1743</v>
      </c>
      <c r="C1710" s="632">
        <v>179</v>
      </c>
    </row>
    <row r="1711" spans="1:3" x14ac:dyDescent="0.25">
      <c r="A1711" s="631">
        <v>4630236</v>
      </c>
      <c r="B1711" s="632" t="s">
        <v>1744</v>
      </c>
      <c r="C1711" s="632">
        <v>381</v>
      </c>
    </row>
    <row r="1712" spans="1:3" x14ac:dyDescent="0.25">
      <c r="A1712" s="631">
        <v>4630300</v>
      </c>
      <c r="B1712" s="632" t="s">
        <v>1745</v>
      </c>
      <c r="C1712" s="632">
        <v>879</v>
      </c>
    </row>
    <row r="1713" spans="1:3" x14ac:dyDescent="0.25">
      <c r="A1713" s="631">
        <v>4630301</v>
      </c>
      <c r="B1713" s="632" t="s">
        <v>1746</v>
      </c>
      <c r="C1713" s="632">
        <v>439</v>
      </c>
    </row>
    <row r="1714" spans="1:3" x14ac:dyDescent="0.25">
      <c r="A1714" s="631">
        <v>4630302</v>
      </c>
      <c r="B1714" s="632" t="s">
        <v>1747</v>
      </c>
      <c r="C1714" s="632">
        <v>439</v>
      </c>
    </row>
    <row r="1715" spans="1:3" x14ac:dyDescent="0.25">
      <c r="A1715" s="631">
        <v>4633301</v>
      </c>
      <c r="B1715" s="632" t="s">
        <v>4334</v>
      </c>
      <c r="C1715" s="632">
        <v>0</v>
      </c>
    </row>
    <row r="1716" spans="1:3" x14ac:dyDescent="0.25">
      <c r="A1716" s="631">
        <v>4633302</v>
      </c>
      <c r="B1716" s="632" t="s">
        <v>4335</v>
      </c>
      <c r="C1716" s="632">
        <v>0</v>
      </c>
    </row>
    <row r="1717" spans="1:3" x14ac:dyDescent="0.25">
      <c r="A1717" s="631">
        <v>4633601</v>
      </c>
      <c r="B1717" s="632" t="s">
        <v>4336</v>
      </c>
      <c r="C1717" s="632">
        <v>0</v>
      </c>
    </row>
    <row r="1718" spans="1:3" x14ac:dyDescent="0.25">
      <c r="A1718" s="631">
        <v>4633602</v>
      </c>
      <c r="B1718" s="632" t="s">
        <v>4337</v>
      </c>
      <c r="C1718" s="632">
        <v>0</v>
      </c>
    </row>
    <row r="1719" spans="1:3" x14ac:dyDescent="0.25">
      <c r="A1719" s="631">
        <v>4633901</v>
      </c>
      <c r="B1719" s="632" t="s">
        <v>4338</v>
      </c>
      <c r="C1719" s="632">
        <v>0</v>
      </c>
    </row>
    <row r="1720" spans="1:3" x14ac:dyDescent="0.25">
      <c r="A1720" s="631">
        <v>4633902</v>
      </c>
      <c r="B1720" s="632" t="s">
        <v>4339</v>
      </c>
      <c r="C1720" s="632">
        <v>0</v>
      </c>
    </row>
    <row r="1721" spans="1:3" x14ac:dyDescent="0.25">
      <c r="A1721" s="631">
        <v>4634201</v>
      </c>
      <c r="B1721" s="632" t="s">
        <v>4340</v>
      </c>
      <c r="C1721" s="632">
        <v>0</v>
      </c>
    </row>
    <row r="1722" spans="1:3" x14ac:dyDescent="0.25">
      <c r="A1722" s="631">
        <v>4634202</v>
      </c>
      <c r="B1722" s="632" t="s">
        <v>4341</v>
      </c>
      <c r="C1722" s="632">
        <v>0</v>
      </c>
    </row>
    <row r="1723" spans="1:3" x14ac:dyDescent="0.25">
      <c r="A1723" s="631">
        <v>4634501</v>
      </c>
      <c r="B1723" s="632" t="s">
        <v>4342</v>
      </c>
      <c r="C1723" s="632">
        <v>0</v>
      </c>
    </row>
    <row r="1724" spans="1:3" x14ac:dyDescent="0.25">
      <c r="A1724" s="631">
        <v>4634502</v>
      </c>
      <c r="B1724" s="632" t="s">
        <v>4343</v>
      </c>
      <c r="C1724" s="632">
        <v>0</v>
      </c>
    </row>
    <row r="1725" spans="1:3" x14ac:dyDescent="0.25">
      <c r="A1725" s="631">
        <v>4640000</v>
      </c>
      <c r="B1725" s="632" t="s">
        <v>1748</v>
      </c>
      <c r="C1725" s="632">
        <v>1200</v>
      </c>
    </row>
    <row r="1726" spans="1:3" x14ac:dyDescent="0.25">
      <c r="A1726" s="631">
        <v>4640004</v>
      </c>
      <c r="B1726" s="632" t="s">
        <v>1749</v>
      </c>
      <c r="C1726" s="632">
        <v>15</v>
      </c>
    </row>
    <row r="1727" spans="1:3" x14ac:dyDescent="0.25">
      <c r="A1727" s="631">
        <v>4640005</v>
      </c>
      <c r="B1727" s="632" t="s">
        <v>1750</v>
      </c>
      <c r="C1727" s="632">
        <v>30</v>
      </c>
    </row>
    <row r="1728" spans="1:3" x14ac:dyDescent="0.25">
      <c r="A1728" s="631">
        <v>4640011</v>
      </c>
      <c r="B1728" s="632" t="s">
        <v>1751</v>
      </c>
      <c r="C1728" s="632">
        <v>600</v>
      </c>
    </row>
    <row r="1729" spans="1:3" x14ac:dyDescent="0.25">
      <c r="A1729" s="631">
        <v>4640012</v>
      </c>
      <c r="B1729" s="632" t="s">
        <v>1752</v>
      </c>
      <c r="C1729" s="632">
        <v>600</v>
      </c>
    </row>
    <row r="1730" spans="1:3" x14ac:dyDescent="0.25">
      <c r="A1730" s="631">
        <v>4710012</v>
      </c>
      <c r="B1730" s="632" t="s">
        <v>1753</v>
      </c>
      <c r="C1730" s="632">
        <v>431</v>
      </c>
    </row>
    <row r="1731" spans="1:3" x14ac:dyDescent="0.25">
      <c r="A1731" s="631">
        <v>4710100</v>
      </c>
      <c r="B1731" s="632" t="s">
        <v>1754</v>
      </c>
      <c r="C1731" s="632">
        <v>2402</v>
      </c>
    </row>
    <row r="1732" spans="1:3" x14ac:dyDescent="0.25">
      <c r="A1732" s="631" t="s">
        <v>1755</v>
      </c>
      <c r="B1732" s="632" t="s">
        <v>1756</v>
      </c>
      <c r="C1732" s="632">
        <v>2402</v>
      </c>
    </row>
    <row r="1733" spans="1:3" x14ac:dyDescent="0.25">
      <c r="A1733" s="631">
        <v>4710101</v>
      </c>
      <c r="B1733" s="632" t="s">
        <v>1757</v>
      </c>
      <c r="C1733" s="632">
        <v>773</v>
      </c>
    </row>
    <row r="1734" spans="1:3" x14ac:dyDescent="0.25">
      <c r="A1734" s="631">
        <v>4710102</v>
      </c>
      <c r="B1734" s="632" t="s">
        <v>1758</v>
      </c>
      <c r="C1734" s="632">
        <v>742</v>
      </c>
    </row>
    <row r="1735" spans="1:3" x14ac:dyDescent="0.25">
      <c r="A1735" s="631" t="s">
        <v>1759</v>
      </c>
      <c r="B1735" s="632" t="s">
        <v>1760</v>
      </c>
      <c r="C1735" s="632">
        <v>742</v>
      </c>
    </row>
    <row r="1736" spans="1:3" x14ac:dyDescent="0.25">
      <c r="A1736" s="631">
        <v>4710103</v>
      </c>
      <c r="B1736" s="632" t="s">
        <v>1761</v>
      </c>
      <c r="C1736" s="632">
        <v>913</v>
      </c>
    </row>
    <row r="1737" spans="1:3" x14ac:dyDescent="0.25">
      <c r="A1737" s="631">
        <v>4710106</v>
      </c>
      <c r="B1737" s="632" t="s">
        <v>1762</v>
      </c>
      <c r="C1737" s="632">
        <v>370</v>
      </c>
    </row>
    <row r="1738" spans="1:3" x14ac:dyDescent="0.25">
      <c r="A1738" s="631">
        <v>4710110</v>
      </c>
      <c r="B1738" s="632" t="s">
        <v>4344</v>
      </c>
      <c r="C1738" s="632">
        <v>1120</v>
      </c>
    </row>
    <row r="1739" spans="1:3" x14ac:dyDescent="0.25">
      <c r="A1739" s="631">
        <v>4710118</v>
      </c>
      <c r="B1739" s="632" t="s">
        <v>1763</v>
      </c>
      <c r="C1739" s="632">
        <v>370</v>
      </c>
    </row>
    <row r="1740" spans="1:3" x14ac:dyDescent="0.25">
      <c r="A1740" s="631">
        <v>4710119</v>
      </c>
      <c r="B1740" s="632" t="s">
        <v>1764</v>
      </c>
      <c r="C1740" s="632">
        <v>566</v>
      </c>
    </row>
    <row r="1741" spans="1:3" x14ac:dyDescent="0.25">
      <c r="A1741" s="631">
        <v>4710120</v>
      </c>
      <c r="B1741" s="632" t="s">
        <v>4345</v>
      </c>
      <c r="C1741" s="632">
        <v>2402</v>
      </c>
    </row>
    <row r="1742" spans="1:3" x14ac:dyDescent="0.25">
      <c r="A1742" s="631">
        <v>4800001</v>
      </c>
      <c r="B1742" s="632" t="s">
        <v>1765</v>
      </c>
      <c r="C1742" s="632">
        <v>243</v>
      </c>
    </row>
    <row r="1743" spans="1:3" x14ac:dyDescent="0.25">
      <c r="A1743" s="631">
        <v>4800002</v>
      </c>
      <c r="B1743" s="632" t="s">
        <v>1766</v>
      </c>
      <c r="C1743" s="632">
        <v>210</v>
      </c>
    </row>
    <row r="1744" spans="1:3" x14ac:dyDescent="0.25">
      <c r="A1744" s="631">
        <v>4800003</v>
      </c>
      <c r="B1744" s="632" t="s">
        <v>1767</v>
      </c>
      <c r="C1744" s="632">
        <v>210</v>
      </c>
    </row>
    <row r="1745" spans="1:3" x14ac:dyDescent="0.25">
      <c r="A1745" s="631">
        <v>4800005</v>
      </c>
      <c r="B1745" s="632" t="s">
        <v>1768</v>
      </c>
      <c r="C1745" s="632">
        <v>728</v>
      </c>
    </row>
    <row r="1746" spans="1:3" x14ac:dyDescent="0.25">
      <c r="A1746" s="631">
        <v>4800010</v>
      </c>
      <c r="B1746" s="632" t="s">
        <v>1769</v>
      </c>
      <c r="C1746" s="632">
        <v>7</v>
      </c>
    </row>
    <row r="1747" spans="1:3" x14ac:dyDescent="0.25">
      <c r="A1747" s="631">
        <v>4800020</v>
      </c>
      <c r="B1747" s="632" t="s">
        <v>1770</v>
      </c>
      <c r="C1747" s="632">
        <v>345</v>
      </c>
    </row>
    <row r="1748" spans="1:3" x14ac:dyDescent="0.25">
      <c r="A1748" s="631">
        <v>4810101</v>
      </c>
      <c r="B1748" s="632" t="s">
        <v>1771</v>
      </c>
      <c r="C1748" s="632">
        <v>185</v>
      </c>
    </row>
    <row r="1749" spans="1:3" x14ac:dyDescent="0.25">
      <c r="A1749" s="631">
        <v>4810102</v>
      </c>
      <c r="B1749" s="632" t="s">
        <v>1772</v>
      </c>
      <c r="C1749" s="632">
        <v>185</v>
      </c>
    </row>
    <row r="1750" spans="1:3" x14ac:dyDescent="0.25">
      <c r="A1750" s="631">
        <v>4810121</v>
      </c>
      <c r="B1750" s="632" t="s">
        <v>1773</v>
      </c>
      <c r="C1750" s="632">
        <v>61</v>
      </c>
    </row>
    <row r="1751" spans="1:3" x14ac:dyDescent="0.25">
      <c r="A1751" s="631">
        <v>4810123</v>
      </c>
      <c r="B1751" s="632" t="s">
        <v>1774</v>
      </c>
      <c r="C1751" s="632">
        <v>22</v>
      </c>
    </row>
    <row r="1752" spans="1:3" x14ac:dyDescent="0.25">
      <c r="A1752" s="631">
        <v>4810126</v>
      </c>
      <c r="B1752" s="632" t="s">
        <v>1775</v>
      </c>
      <c r="C1752" s="632">
        <v>47</v>
      </c>
    </row>
    <row r="1753" spans="1:3" x14ac:dyDescent="0.25">
      <c r="A1753" s="631">
        <v>4810132</v>
      </c>
      <c r="B1753" s="632" t="s">
        <v>1776</v>
      </c>
      <c r="C1753" s="632">
        <v>47</v>
      </c>
    </row>
    <row r="1754" spans="1:3" x14ac:dyDescent="0.25">
      <c r="A1754" s="631">
        <v>4810133</v>
      </c>
      <c r="B1754" s="632" t="s">
        <v>1777</v>
      </c>
      <c r="C1754" s="632">
        <v>47</v>
      </c>
    </row>
    <row r="1755" spans="1:3" x14ac:dyDescent="0.25">
      <c r="A1755" s="631">
        <v>4810136</v>
      </c>
      <c r="B1755" s="632" t="s">
        <v>1778</v>
      </c>
      <c r="C1755" s="632">
        <v>76</v>
      </c>
    </row>
    <row r="1756" spans="1:3" x14ac:dyDescent="0.25">
      <c r="A1756" s="631" t="s">
        <v>1779</v>
      </c>
      <c r="B1756" s="632" t="s">
        <v>1780</v>
      </c>
      <c r="C1756" s="632">
        <v>68</v>
      </c>
    </row>
    <row r="1757" spans="1:3" x14ac:dyDescent="0.25">
      <c r="A1757" s="631">
        <v>4810137</v>
      </c>
      <c r="B1757" s="632" t="s">
        <v>1781</v>
      </c>
      <c r="C1757" s="632">
        <v>47</v>
      </c>
    </row>
    <row r="1758" spans="1:3" x14ac:dyDescent="0.25">
      <c r="A1758" s="631">
        <v>4810138</v>
      </c>
      <c r="B1758" s="632" t="s">
        <v>1782</v>
      </c>
      <c r="C1758" s="632">
        <v>47</v>
      </c>
    </row>
    <row r="1759" spans="1:3" x14ac:dyDescent="0.25">
      <c r="A1759" s="631" t="s">
        <v>1783</v>
      </c>
      <c r="B1759" s="632" t="s">
        <v>1784</v>
      </c>
      <c r="C1759" s="632">
        <v>42</v>
      </c>
    </row>
    <row r="1760" spans="1:3" x14ac:dyDescent="0.25">
      <c r="A1760" s="631">
        <v>4810140</v>
      </c>
      <c r="B1760" s="632" t="s">
        <v>1785</v>
      </c>
      <c r="C1760" s="632">
        <v>42</v>
      </c>
    </row>
    <row r="1761" spans="1:3" x14ac:dyDescent="0.25">
      <c r="A1761" s="631">
        <v>4810145</v>
      </c>
      <c r="B1761" s="632" t="s">
        <v>1786</v>
      </c>
      <c r="C1761" s="632">
        <v>47</v>
      </c>
    </row>
    <row r="1762" spans="1:3" x14ac:dyDescent="0.25">
      <c r="A1762" s="631">
        <v>4810146</v>
      </c>
      <c r="B1762" s="632" t="s">
        <v>1787</v>
      </c>
      <c r="C1762" s="632">
        <v>47</v>
      </c>
    </row>
    <row r="1763" spans="1:3" x14ac:dyDescent="0.25">
      <c r="A1763" s="631" t="s">
        <v>1788</v>
      </c>
      <c r="B1763" s="632" t="s">
        <v>1787</v>
      </c>
      <c r="C1763" s="632">
        <v>42</v>
      </c>
    </row>
    <row r="1764" spans="1:3" x14ac:dyDescent="0.25">
      <c r="A1764" s="631">
        <v>4810147</v>
      </c>
      <c r="B1764" s="632" t="s">
        <v>1789</v>
      </c>
      <c r="C1764" s="632">
        <v>126</v>
      </c>
    </row>
    <row r="1765" spans="1:3" x14ac:dyDescent="0.25">
      <c r="A1765" s="631">
        <v>4810157</v>
      </c>
      <c r="B1765" s="632" t="s">
        <v>1790</v>
      </c>
      <c r="C1765" s="632">
        <v>0</v>
      </c>
    </row>
    <row r="1766" spans="1:3" x14ac:dyDescent="0.25">
      <c r="A1766" s="631">
        <v>4810162</v>
      </c>
      <c r="B1766" s="632" t="s">
        <v>1791</v>
      </c>
      <c r="C1766" s="632">
        <v>57</v>
      </c>
    </row>
    <row r="1767" spans="1:3" x14ac:dyDescent="0.25">
      <c r="A1767" s="631">
        <v>4810163</v>
      </c>
      <c r="B1767" s="632" t="s">
        <v>1792</v>
      </c>
      <c r="C1767" s="632">
        <v>76</v>
      </c>
    </row>
    <row r="1768" spans="1:3" x14ac:dyDescent="0.25">
      <c r="A1768" s="631">
        <v>4810171</v>
      </c>
      <c r="B1768" s="632" t="s">
        <v>1793</v>
      </c>
      <c r="C1768" s="632">
        <v>187</v>
      </c>
    </row>
    <row r="1769" spans="1:3" x14ac:dyDescent="0.25">
      <c r="A1769" s="631">
        <v>4810224</v>
      </c>
      <c r="B1769" s="632" t="s">
        <v>1794</v>
      </c>
      <c r="C1769" s="632">
        <v>16</v>
      </c>
    </row>
    <row r="1770" spans="1:3" x14ac:dyDescent="0.25">
      <c r="A1770" s="631">
        <v>4813901</v>
      </c>
      <c r="B1770" s="632" t="s">
        <v>1795</v>
      </c>
      <c r="C1770" s="632">
        <v>83</v>
      </c>
    </row>
    <row r="1771" spans="1:3" x14ac:dyDescent="0.25">
      <c r="A1771" s="631">
        <v>4813904</v>
      </c>
      <c r="B1771" s="632" t="s">
        <v>1796</v>
      </c>
      <c r="C1771" s="632">
        <v>47</v>
      </c>
    </row>
    <row r="1772" spans="1:3" x14ac:dyDescent="0.25">
      <c r="A1772" s="631">
        <v>4813905</v>
      </c>
      <c r="B1772" s="632" t="s">
        <v>1797</v>
      </c>
      <c r="C1772" s="632">
        <v>47</v>
      </c>
    </row>
    <row r="1773" spans="1:3" x14ac:dyDescent="0.25">
      <c r="A1773" s="631">
        <v>4813906</v>
      </c>
      <c r="B1773" s="632" t="s">
        <v>1798</v>
      </c>
      <c r="C1773" s="632">
        <v>47</v>
      </c>
    </row>
    <row r="1774" spans="1:3" x14ac:dyDescent="0.25">
      <c r="A1774" s="631">
        <v>4813907</v>
      </c>
      <c r="B1774" s="632" t="s">
        <v>1799</v>
      </c>
      <c r="C1774" s="632">
        <v>117</v>
      </c>
    </row>
    <row r="1775" spans="1:3" x14ac:dyDescent="0.25">
      <c r="A1775" s="631">
        <v>4813909</v>
      </c>
      <c r="B1775" s="632" t="s">
        <v>1800</v>
      </c>
      <c r="C1775" s="632">
        <v>51</v>
      </c>
    </row>
    <row r="1776" spans="1:3" x14ac:dyDescent="0.25">
      <c r="A1776" s="631">
        <v>4813910</v>
      </c>
      <c r="B1776" s="632" t="s">
        <v>1801</v>
      </c>
      <c r="C1776" s="632">
        <v>51</v>
      </c>
    </row>
    <row r="1777" spans="1:3" x14ac:dyDescent="0.25">
      <c r="A1777" s="631">
        <v>4813914</v>
      </c>
      <c r="B1777" s="632" t="s">
        <v>1802</v>
      </c>
      <c r="C1777" s="632">
        <v>117</v>
      </c>
    </row>
    <row r="1778" spans="1:3" x14ac:dyDescent="0.25">
      <c r="A1778" s="631">
        <v>4813917</v>
      </c>
      <c r="B1778" s="632" t="s">
        <v>1803</v>
      </c>
      <c r="C1778" s="632">
        <v>179</v>
      </c>
    </row>
    <row r="1779" spans="1:3" x14ac:dyDescent="0.25">
      <c r="A1779" s="631">
        <v>4813924</v>
      </c>
      <c r="B1779" s="632" t="s">
        <v>1804</v>
      </c>
      <c r="C1779" s="632">
        <v>0</v>
      </c>
    </row>
    <row r="1780" spans="1:3" x14ac:dyDescent="0.25">
      <c r="A1780" s="631">
        <v>4813925</v>
      </c>
      <c r="B1780" s="632" t="s">
        <v>1805</v>
      </c>
      <c r="C1780" s="632">
        <v>0</v>
      </c>
    </row>
    <row r="1781" spans="1:3" x14ac:dyDescent="0.25">
      <c r="A1781" s="631">
        <v>4813926</v>
      </c>
      <c r="B1781" s="632" t="s">
        <v>1806</v>
      </c>
      <c r="C1781" s="632">
        <v>117</v>
      </c>
    </row>
    <row r="1782" spans="1:3" x14ac:dyDescent="0.25">
      <c r="A1782" s="631">
        <v>4813927</v>
      </c>
      <c r="B1782" s="632" t="s">
        <v>1807</v>
      </c>
      <c r="C1782" s="632">
        <v>0</v>
      </c>
    </row>
    <row r="1783" spans="1:3" x14ac:dyDescent="0.25">
      <c r="A1783" s="631" t="s">
        <v>1808</v>
      </c>
      <c r="B1783" s="632" t="s">
        <v>1809</v>
      </c>
      <c r="C1783" s="632">
        <v>0</v>
      </c>
    </row>
    <row r="1784" spans="1:3" x14ac:dyDescent="0.25">
      <c r="A1784" s="631">
        <v>4813928</v>
      </c>
      <c r="B1784" s="632" t="s">
        <v>1810</v>
      </c>
      <c r="C1784" s="632">
        <v>0</v>
      </c>
    </row>
    <row r="1785" spans="1:3" x14ac:dyDescent="0.25">
      <c r="A1785" s="631">
        <v>4900009</v>
      </c>
      <c r="B1785" s="632" t="s">
        <v>1811</v>
      </c>
      <c r="C1785" s="632">
        <v>879</v>
      </c>
    </row>
    <row r="1786" spans="1:3" x14ac:dyDescent="0.25">
      <c r="A1786" s="631">
        <v>4900011</v>
      </c>
      <c r="B1786" s="632" t="s">
        <v>1812</v>
      </c>
      <c r="C1786" s="632">
        <v>74</v>
      </c>
    </row>
    <row r="1787" spans="1:3" x14ac:dyDescent="0.25">
      <c r="A1787" s="631">
        <v>4900025</v>
      </c>
      <c r="B1787" s="632" t="s">
        <v>1813</v>
      </c>
      <c r="C1787" s="632">
        <v>182</v>
      </c>
    </row>
    <row r="1788" spans="1:3" x14ac:dyDescent="0.25">
      <c r="A1788" s="631">
        <v>4900026</v>
      </c>
      <c r="B1788" s="632" t="s">
        <v>1814</v>
      </c>
      <c r="C1788" s="632">
        <v>161</v>
      </c>
    </row>
    <row r="1789" spans="1:3" x14ac:dyDescent="0.25">
      <c r="A1789" s="631">
        <v>4900027</v>
      </c>
      <c r="B1789" s="632" t="s">
        <v>1815</v>
      </c>
      <c r="C1789" s="632">
        <v>161</v>
      </c>
    </row>
    <row r="1790" spans="1:3" x14ac:dyDescent="0.25">
      <c r="A1790" s="631">
        <v>4902010</v>
      </c>
      <c r="B1790" s="632" t="s">
        <v>1816</v>
      </c>
      <c r="C1790" s="632">
        <v>199</v>
      </c>
    </row>
    <row r="1791" spans="1:3" x14ac:dyDescent="0.25">
      <c r="A1791" s="631" t="s">
        <v>1817</v>
      </c>
      <c r="B1791" s="632" t="s">
        <v>1818</v>
      </c>
      <c r="C1791" s="632">
        <v>7114</v>
      </c>
    </row>
    <row r="1792" spans="1:3" x14ac:dyDescent="0.25">
      <c r="A1792" s="631" t="s">
        <v>1819</v>
      </c>
      <c r="B1792" s="632" t="s">
        <v>1820</v>
      </c>
      <c r="C1792" s="632">
        <v>7114</v>
      </c>
    </row>
    <row r="1793" spans="1:3" x14ac:dyDescent="0.25">
      <c r="A1793" s="631">
        <v>5013340</v>
      </c>
      <c r="B1793" s="632" t="s">
        <v>1821</v>
      </c>
      <c r="C1793" s="632">
        <v>5594</v>
      </c>
    </row>
    <row r="1794" spans="1:3" x14ac:dyDescent="0.25">
      <c r="A1794" s="631" t="s">
        <v>1822</v>
      </c>
      <c r="B1794" s="632" t="s">
        <v>1823</v>
      </c>
      <c r="C1794" s="632">
        <v>5117</v>
      </c>
    </row>
    <row r="1795" spans="1:3" x14ac:dyDescent="0.25">
      <c r="A1795" s="631" t="s">
        <v>1824</v>
      </c>
      <c r="B1795" s="632" t="s">
        <v>1825</v>
      </c>
      <c r="C1795" s="632">
        <v>2506</v>
      </c>
    </row>
    <row r="1796" spans="1:3" x14ac:dyDescent="0.25">
      <c r="A1796" s="631" t="s">
        <v>1826</v>
      </c>
      <c r="B1796" s="632" t="s">
        <v>1827</v>
      </c>
      <c r="C1796" s="632">
        <v>2506</v>
      </c>
    </row>
    <row r="1797" spans="1:3" x14ac:dyDescent="0.25">
      <c r="A1797" s="631">
        <v>5013640</v>
      </c>
      <c r="B1797" s="632" t="s">
        <v>1828</v>
      </c>
      <c r="C1797" s="632">
        <v>5594</v>
      </c>
    </row>
    <row r="1798" spans="1:3" x14ac:dyDescent="0.25">
      <c r="A1798" s="631" t="s">
        <v>1829</v>
      </c>
      <c r="B1798" s="632" t="s">
        <v>1830</v>
      </c>
      <c r="C1798" s="632">
        <v>5117</v>
      </c>
    </row>
    <row r="1799" spans="1:3" x14ac:dyDescent="0.25">
      <c r="A1799" s="631" t="s">
        <v>1831</v>
      </c>
      <c r="B1799" s="632" t="s">
        <v>1832</v>
      </c>
      <c r="C1799" s="632">
        <v>2506</v>
      </c>
    </row>
    <row r="1800" spans="1:3" x14ac:dyDescent="0.25">
      <c r="A1800" s="631" t="s">
        <v>1833</v>
      </c>
      <c r="B1800" s="632" t="s">
        <v>1834</v>
      </c>
      <c r="C1800" s="632">
        <v>2506</v>
      </c>
    </row>
    <row r="1801" spans="1:3" x14ac:dyDescent="0.25">
      <c r="A1801" s="631">
        <v>5013940</v>
      </c>
      <c r="B1801" s="632" t="s">
        <v>1835</v>
      </c>
      <c r="C1801" s="632">
        <v>5594</v>
      </c>
    </row>
    <row r="1802" spans="1:3" x14ac:dyDescent="0.25">
      <c r="A1802" s="631" t="s">
        <v>1836</v>
      </c>
      <c r="B1802" s="632" t="s">
        <v>1837</v>
      </c>
      <c r="C1802" s="632">
        <v>5117</v>
      </c>
    </row>
    <row r="1803" spans="1:3" x14ac:dyDescent="0.25">
      <c r="A1803" s="631" t="s">
        <v>1838</v>
      </c>
      <c r="B1803" s="632" t="s">
        <v>1839</v>
      </c>
      <c r="C1803" s="632">
        <v>2506</v>
      </c>
    </row>
    <row r="1804" spans="1:3" x14ac:dyDescent="0.25">
      <c r="A1804" s="631" t="s">
        <v>1840</v>
      </c>
      <c r="B1804" s="632" t="s">
        <v>1841</v>
      </c>
      <c r="C1804" s="632">
        <v>2506</v>
      </c>
    </row>
    <row r="1805" spans="1:3" x14ac:dyDescent="0.25">
      <c r="A1805" s="631">
        <v>5014240</v>
      </c>
      <c r="B1805" s="632" t="s">
        <v>1842</v>
      </c>
      <c r="C1805" s="632">
        <v>5594</v>
      </c>
    </row>
    <row r="1806" spans="1:3" x14ac:dyDescent="0.25">
      <c r="A1806" s="631" t="s">
        <v>1843</v>
      </c>
      <c r="B1806" s="632" t="s">
        <v>1844</v>
      </c>
      <c r="C1806" s="632">
        <v>5117</v>
      </c>
    </row>
    <row r="1807" spans="1:3" x14ac:dyDescent="0.25">
      <c r="A1807" s="631" t="s">
        <v>1845</v>
      </c>
      <c r="B1807" s="632" t="s">
        <v>1846</v>
      </c>
      <c r="C1807" s="632">
        <v>2506</v>
      </c>
    </row>
    <row r="1808" spans="1:3" x14ac:dyDescent="0.25">
      <c r="A1808" s="631" t="s">
        <v>1847</v>
      </c>
      <c r="B1808" s="632" t="s">
        <v>1848</v>
      </c>
      <c r="C1808" s="632">
        <v>2506</v>
      </c>
    </row>
    <row r="1809" spans="1:3" x14ac:dyDescent="0.25">
      <c r="A1809" s="631">
        <v>5014540</v>
      </c>
      <c r="B1809" s="632" t="s">
        <v>1849</v>
      </c>
      <c r="C1809" s="632">
        <v>5594</v>
      </c>
    </row>
    <row r="1810" spans="1:3" x14ac:dyDescent="0.25">
      <c r="A1810" s="631" t="s">
        <v>1850</v>
      </c>
      <c r="B1810" s="632" t="s">
        <v>1851</v>
      </c>
      <c r="C1810" s="632">
        <v>5117</v>
      </c>
    </row>
    <row r="1811" spans="1:3" x14ac:dyDescent="0.25">
      <c r="A1811" s="631" t="s">
        <v>1852</v>
      </c>
      <c r="B1811" s="632" t="s">
        <v>1853</v>
      </c>
      <c r="C1811" s="632">
        <v>2506</v>
      </c>
    </row>
    <row r="1812" spans="1:3" x14ac:dyDescent="0.25">
      <c r="A1812" s="631" t="s">
        <v>1854</v>
      </c>
      <c r="B1812" s="632" t="s">
        <v>1855</v>
      </c>
      <c r="C1812" s="632">
        <v>2506</v>
      </c>
    </row>
    <row r="1813" spans="1:3" x14ac:dyDescent="0.25">
      <c r="A1813" s="631">
        <v>5015040</v>
      </c>
      <c r="B1813" s="632" t="s">
        <v>1856</v>
      </c>
      <c r="C1813" s="632">
        <v>5594</v>
      </c>
    </row>
    <row r="1814" spans="1:3" x14ac:dyDescent="0.25">
      <c r="A1814" s="631" t="s">
        <v>1857</v>
      </c>
      <c r="B1814" s="632" t="s">
        <v>1858</v>
      </c>
      <c r="C1814" s="632">
        <v>5117</v>
      </c>
    </row>
    <row r="1815" spans="1:3" x14ac:dyDescent="0.25">
      <c r="A1815" s="631" t="s">
        <v>1859</v>
      </c>
      <c r="B1815" s="632" t="s">
        <v>1860</v>
      </c>
      <c r="C1815" s="632">
        <v>2506</v>
      </c>
    </row>
    <row r="1816" spans="1:3" x14ac:dyDescent="0.25">
      <c r="A1816" s="631" t="s">
        <v>1861</v>
      </c>
      <c r="B1816" s="632" t="s">
        <v>1862</v>
      </c>
      <c r="C1816" s="632">
        <v>2506</v>
      </c>
    </row>
    <row r="1817" spans="1:3" x14ac:dyDescent="0.25">
      <c r="A1817" s="631" t="s">
        <v>1863</v>
      </c>
      <c r="B1817" s="632" t="s">
        <v>1864</v>
      </c>
      <c r="C1817" s="632">
        <v>4545</v>
      </c>
    </row>
    <row r="1818" spans="1:3" x14ac:dyDescent="0.25">
      <c r="A1818" s="631">
        <v>5023040</v>
      </c>
      <c r="B1818" s="632" t="s">
        <v>1865</v>
      </c>
      <c r="C1818" s="632">
        <v>5594</v>
      </c>
    </row>
    <row r="1819" spans="1:3" x14ac:dyDescent="0.25">
      <c r="A1819" s="631" t="s">
        <v>1866</v>
      </c>
      <c r="B1819" s="632" t="s">
        <v>1867</v>
      </c>
      <c r="C1819" s="632">
        <v>5656</v>
      </c>
    </row>
    <row r="1820" spans="1:3" x14ac:dyDescent="0.25">
      <c r="A1820" s="631" t="s">
        <v>1868</v>
      </c>
      <c r="B1820" s="632" t="s">
        <v>1869</v>
      </c>
      <c r="C1820" s="632">
        <v>5594</v>
      </c>
    </row>
    <row r="1821" spans="1:3" x14ac:dyDescent="0.25">
      <c r="A1821" s="631" t="s">
        <v>1870</v>
      </c>
      <c r="B1821" s="632" t="s">
        <v>1871</v>
      </c>
      <c r="C1821" s="632">
        <v>2506</v>
      </c>
    </row>
    <row r="1822" spans="1:3" x14ac:dyDescent="0.25">
      <c r="A1822" s="631">
        <v>5023340</v>
      </c>
      <c r="B1822" s="632" t="s">
        <v>1872</v>
      </c>
      <c r="C1822" s="632">
        <v>5594</v>
      </c>
    </row>
    <row r="1823" spans="1:3" x14ac:dyDescent="0.25">
      <c r="A1823" s="631" t="s">
        <v>1873</v>
      </c>
      <c r="B1823" s="632" t="s">
        <v>1874</v>
      </c>
      <c r="C1823" s="632">
        <v>5656</v>
      </c>
    </row>
    <row r="1824" spans="1:3" x14ac:dyDescent="0.25">
      <c r="A1824" s="631" t="s">
        <v>1875</v>
      </c>
      <c r="B1824" s="632" t="s">
        <v>1876</v>
      </c>
      <c r="C1824" s="632">
        <v>2506</v>
      </c>
    </row>
    <row r="1825" spans="1:3" x14ac:dyDescent="0.25">
      <c r="A1825" s="631" t="s">
        <v>1877</v>
      </c>
      <c r="B1825" s="632" t="s">
        <v>1878</v>
      </c>
      <c r="C1825" s="632">
        <v>2506</v>
      </c>
    </row>
    <row r="1826" spans="1:3" x14ac:dyDescent="0.25">
      <c r="A1826" s="631">
        <v>5023640</v>
      </c>
      <c r="B1826" s="632" t="s">
        <v>1879</v>
      </c>
      <c r="C1826" s="632">
        <v>5594</v>
      </c>
    </row>
    <row r="1827" spans="1:3" x14ac:dyDescent="0.25">
      <c r="A1827" s="631" t="s">
        <v>1880</v>
      </c>
      <c r="B1827" s="632" t="s">
        <v>1881</v>
      </c>
      <c r="C1827" s="632">
        <v>5117</v>
      </c>
    </row>
    <row r="1828" spans="1:3" x14ac:dyDescent="0.25">
      <c r="A1828" s="631" t="s">
        <v>1882</v>
      </c>
      <c r="B1828" s="632" t="s">
        <v>1883</v>
      </c>
      <c r="C1828" s="632">
        <v>2506</v>
      </c>
    </row>
    <row r="1829" spans="1:3" x14ac:dyDescent="0.25">
      <c r="A1829" s="631" t="s">
        <v>1884</v>
      </c>
      <c r="B1829" s="632" t="s">
        <v>1885</v>
      </c>
      <c r="C1829" s="632">
        <v>2506</v>
      </c>
    </row>
    <row r="1830" spans="1:3" x14ac:dyDescent="0.25">
      <c r="A1830" s="631">
        <v>5023940</v>
      </c>
      <c r="B1830" s="632" t="s">
        <v>1886</v>
      </c>
      <c r="C1830" s="632">
        <v>5594</v>
      </c>
    </row>
    <row r="1831" spans="1:3" x14ac:dyDescent="0.25">
      <c r="A1831" s="631" t="s">
        <v>1887</v>
      </c>
      <c r="B1831" s="632" t="s">
        <v>1888</v>
      </c>
      <c r="C1831" s="632">
        <v>5117</v>
      </c>
    </row>
    <row r="1832" spans="1:3" x14ac:dyDescent="0.25">
      <c r="A1832" s="631" t="s">
        <v>1889</v>
      </c>
      <c r="B1832" s="632" t="s">
        <v>1890</v>
      </c>
      <c r="C1832" s="632">
        <v>2506</v>
      </c>
    </row>
    <row r="1833" spans="1:3" x14ac:dyDescent="0.25">
      <c r="A1833" s="631" t="s">
        <v>1891</v>
      </c>
      <c r="B1833" s="632" t="s">
        <v>1892</v>
      </c>
      <c r="C1833" s="632">
        <v>2506</v>
      </c>
    </row>
    <row r="1834" spans="1:3" x14ac:dyDescent="0.25">
      <c r="A1834" s="631">
        <v>5024240</v>
      </c>
      <c r="B1834" s="632" t="s">
        <v>1893</v>
      </c>
      <c r="C1834" s="632">
        <v>5594</v>
      </c>
    </row>
    <row r="1835" spans="1:3" x14ac:dyDescent="0.25">
      <c r="A1835" s="631" t="s">
        <v>1894</v>
      </c>
      <c r="B1835" s="632" t="s">
        <v>1895</v>
      </c>
      <c r="C1835" s="632">
        <v>5117</v>
      </c>
    </row>
    <row r="1836" spans="1:3" x14ac:dyDescent="0.25">
      <c r="A1836" s="631" t="s">
        <v>1896</v>
      </c>
      <c r="B1836" s="632" t="s">
        <v>1897</v>
      </c>
      <c r="C1836" s="632">
        <v>2506</v>
      </c>
    </row>
    <row r="1837" spans="1:3" x14ac:dyDescent="0.25">
      <c r="A1837" s="631" t="s">
        <v>1898</v>
      </c>
      <c r="B1837" s="632" t="s">
        <v>1899</v>
      </c>
      <c r="C1837" s="632">
        <v>2506</v>
      </c>
    </row>
    <row r="1838" spans="1:3" x14ac:dyDescent="0.25">
      <c r="A1838" s="631">
        <v>5024540</v>
      </c>
      <c r="B1838" s="632" t="s">
        <v>1900</v>
      </c>
      <c r="C1838" s="632">
        <v>5594</v>
      </c>
    </row>
    <row r="1839" spans="1:3" x14ac:dyDescent="0.25">
      <c r="A1839" s="631" t="s">
        <v>1901</v>
      </c>
      <c r="B1839" s="632" t="s">
        <v>1902</v>
      </c>
      <c r="C1839" s="632">
        <v>5117</v>
      </c>
    </row>
    <row r="1840" spans="1:3" x14ac:dyDescent="0.25">
      <c r="A1840" s="631" t="s">
        <v>1903</v>
      </c>
      <c r="B1840" s="632" t="s">
        <v>1904</v>
      </c>
      <c r="C1840" s="632">
        <v>2506</v>
      </c>
    </row>
    <row r="1841" spans="1:3" x14ac:dyDescent="0.25">
      <c r="A1841" s="631" t="s">
        <v>1905</v>
      </c>
      <c r="B1841" s="632" t="s">
        <v>1906</v>
      </c>
      <c r="C1841" s="632">
        <v>2506</v>
      </c>
    </row>
    <row r="1842" spans="1:3" x14ac:dyDescent="0.25">
      <c r="A1842" s="631">
        <v>5024541</v>
      </c>
      <c r="B1842" s="632" t="s">
        <v>1906</v>
      </c>
      <c r="C1842" s="632">
        <v>2506</v>
      </c>
    </row>
    <row r="1843" spans="1:3" x14ac:dyDescent="0.25">
      <c r="A1843" s="631" t="s">
        <v>1907</v>
      </c>
      <c r="B1843" s="632" t="s">
        <v>1908</v>
      </c>
      <c r="C1843" s="632">
        <v>6182</v>
      </c>
    </row>
    <row r="1844" spans="1:3" x14ac:dyDescent="0.25">
      <c r="A1844" s="631" t="s">
        <v>4346</v>
      </c>
      <c r="B1844" s="632" t="s">
        <v>4347</v>
      </c>
      <c r="C1844" s="632">
        <v>8183</v>
      </c>
    </row>
    <row r="1845" spans="1:3" x14ac:dyDescent="0.25">
      <c r="A1845" s="631" t="s">
        <v>4348</v>
      </c>
      <c r="B1845" s="632" t="s">
        <v>4349</v>
      </c>
      <c r="C1845" s="632">
        <v>8183</v>
      </c>
    </row>
    <row r="1846" spans="1:3" x14ac:dyDescent="0.25">
      <c r="A1846" s="631" t="s">
        <v>4350</v>
      </c>
      <c r="B1846" s="632" t="s">
        <v>4351</v>
      </c>
      <c r="C1846" s="632">
        <v>6182</v>
      </c>
    </row>
    <row r="1847" spans="1:3" x14ac:dyDescent="0.25">
      <c r="A1847" s="631" t="s">
        <v>1909</v>
      </c>
      <c r="B1847" s="632" t="s">
        <v>1910</v>
      </c>
      <c r="C1847" s="632">
        <v>5117</v>
      </c>
    </row>
    <row r="1848" spans="1:3" x14ac:dyDescent="0.25">
      <c r="A1848" s="631" t="s">
        <v>1911</v>
      </c>
      <c r="B1848" s="632" t="s">
        <v>1912</v>
      </c>
      <c r="C1848" s="632">
        <v>4225</v>
      </c>
    </row>
    <row r="1849" spans="1:3" x14ac:dyDescent="0.25">
      <c r="A1849" s="631">
        <v>5033341</v>
      </c>
      <c r="B1849" s="632" t="s">
        <v>1913</v>
      </c>
      <c r="C1849" s="632">
        <v>6182</v>
      </c>
    </row>
    <row r="1850" spans="1:3" x14ac:dyDescent="0.25">
      <c r="A1850" s="631" t="s">
        <v>1914</v>
      </c>
      <c r="B1850" s="632" t="s">
        <v>1912</v>
      </c>
      <c r="C1850" s="632">
        <v>6182</v>
      </c>
    </row>
    <row r="1851" spans="1:3" x14ac:dyDescent="0.25">
      <c r="A1851" s="631" t="s">
        <v>1915</v>
      </c>
      <c r="B1851" s="632" t="s">
        <v>1916</v>
      </c>
      <c r="C1851" s="632">
        <v>5117</v>
      </c>
    </row>
    <row r="1852" spans="1:3" x14ac:dyDescent="0.25">
      <c r="A1852" s="631" t="s">
        <v>1917</v>
      </c>
      <c r="B1852" s="632" t="s">
        <v>1918</v>
      </c>
      <c r="C1852" s="632">
        <v>4225</v>
      </c>
    </row>
    <row r="1853" spans="1:3" x14ac:dyDescent="0.25">
      <c r="A1853" s="631">
        <v>5033641</v>
      </c>
      <c r="B1853" s="632" t="s">
        <v>1919</v>
      </c>
      <c r="C1853" s="632">
        <v>6182</v>
      </c>
    </row>
    <row r="1854" spans="1:3" x14ac:dyDescent="0.25">
      <c r="A1854" s="631" t="s">
        <v>1920</v>
      </c>
      <c r="B1854" s="632" t="s">
        <v>1918</v>
      </c>
      <c r="C1854" s="632">
        <v>6182</v>
      </c>
    </row>
    <row r="1855" spans="1:3" x14ac:dyDescent="0.25">
      <c r="A1855" s="631" t="s">
        <v>1921</v>
      </c>
      <c r="B1855" s="632" t="s">
        <v>1922</v>
      </c>
      <c r="C1855" s="632">
        <v>5117</v>
      </c>
    </row>
    <row r="1856" spans="1:3" x14ac:dyDescent="0.25">
      <c r="A1856" s="631" t="s">
        <v>1923</v>
      </c>
      <c r="B1856" s="632" t="s">
        <v>1924</v>
      </c>
      <c r="C1856" s="632">
        <v>4225</v>
      </c>
    </row>
    <row r="1857" spans="1:3" x14ac:dyDescent="0.25">
      <c r="A1857" s="631">
        <v>5033941</v>
      </c>
      <c r="B1857" s="632" t="s">
        <v>1925</v>
      </c>
      <c r="C1857" s="632">
        <v>6182</v>
      </c>
    </row>
    <row r="1858" spans="1:3" x14ac:dyDescent="0.25">
      <c r="A1858" s="631" t="s">
        <v>1926</v>
      </c>
      <c r="B1858" s="632" t="s">
        <v>1927</v>
      </c>
      <c r="C1858" s="632">
        <v>6182</v>
      </c>
    </row>
    <row r="1859" spans="1:3" x14ac:dyDescent="0.25">
      <c r="A1859" s="631" t="s">
        <v>1928</v>
      </c>
      <c r="B1859" s="632" t="s">
        <v>1929</v>
      </c>
      <c r="C1859" s="632">
        <v>5363</v>
      </c>
    </row>
    <row r="1860" spans="1:3" x14ac:dyDescent="0.25">
      <c r="A1860" s="631" t="s">
        <v>1930</v>
      </c>
      <c r="B1860" s="632" t="s">
        <v>1931</v>
      </c>
      <c r="C1860" s="632">
        <v>5023</v>
      </c>
    </row>
    <row r="1861" spans="1:3" x14ac:dyDescent="0.25">
      <c r="A1861" s="631" t="s">
        <v>1932</v>
      </c>
      <c r="B1861" s="632" t="s">
        <v>1933</v>
      </c>
      <c r="C1861" s="632">
        <v>5023</v>
      </c>
    </row>
    <row r="1862" spans="1:3" x14ac:dyDescent="0.25">
      <c r="A1862" s="631" t="s">
        <v>1934</v>
      </c>
      <c r="B1862" s="632" t="s">
        <v>1935</v>
      </c>
      <c r="C1862" s="632">
        <v>5117</v>
      </c>
    </row>
    <row r="1863" spans="1:3" x14ac:dyDescent="0.25">
      <c r="A1863" s="631" t="s">
        <v>1936</v>
      </c>
      <c r="B1863" s="632" t="s">
        <v>1937</v>
      </c>
      <c r="C1863" s="632">
        <v>2291</v>
      </c>
    </row>
    <row r="1864" spans="1:3" x14ac:dyDescent="0.25">
      <c r="A1864" s="631" t="s">
        <v>1938</v>
      </c>
      <c r="B1864" s="632" t="s">
        <v>1939</v>
      </c>
      <c r="C1864" s="632">
        <v>6182</v>
      </c>
    </row>
    <row r="1865" spans="1:3" x14ac:dyDescent="0.25">
      <c r="A1865" s="631" t="s">
        <v>1940</v>
      </c>
      <c r="B1865" s="632" t="s">
        <v>1941</v>
      </c>
      <c r="C1865" s="632">
        <v>5117</v>
      </c>
    </row>
    <row r="1866" spans="1:3" x14ac:dyDescent="0.25">
      <c r="A1866" s="631" t="s">
        <v>1942</v>
      </c>
      <c r="B1866" s="632" t="s">
        <v>1943</v>
      </c>
      <c r="C1866" s="632">
        <v>2291</v>
      </c>
    </row>
    <row r="1867" spans="1:3" x14ac:dyDescent="0.25">
      <c r="A1867" s="631" t="s">
        <v>1944</v>
      </c>
      <c r="B1867" s="632" t="s">
        <v>1945</v>
      </c>
      <c r="C1867" s="632">
        <v>6182</v>
      </c>
    </row>
    <row r="1868" spans="1:3" x14ac:dyDescent="0.25">
      <c r="A1868" s="631" t="s">
        <v>1946</v>
      </c>
      <c r="B1868" s="632" t="s">
        <v>1947</v>
      </c>
      <c r="C1868" s="632">
        <v>5117</v>
      </c>
    </row>
    <row r="1869" spans="1:3" x14ac:dyDescent="0.25">
      <c r="A1869" s="631" t="s">
        <v>1948</v>
      </c>
      <c r="B1869" s="632" t="s">
        <v>1949</v>
      </c>
      <c r="C1869" s="632">
        <v>2291</v>
      </c>
    </row>
    <row r="1870" spans="1:3" x14ac:dyDescent="0.25">
      <c r="A1870" s="631" t="s">
        <v>1950</v>
      </c>
      <c r="B1870" s="632" t="s">
        <v>1951</v>
      </c>
      <c r="C1870" s="632">
        <v>6182</v>
      </c>
    </row>
    <row r="1871" spans="1:3" x14ac:dyDescent="0.25">
      <c r="A1871" s="631" t="s">
        <v>1952</v>
      </c>
      <c r="B1871" s="632" t="s">
        <v>1953</v>
      </c>
      <c r="C1871" s="632">
        <v>5117</v>
      </c>
    </row>
    <row r="1872" spans="1:3" x14ac:dyDescent="0.25">
      <c r="A1872" s="631" t="s">
        <v>1954</v>
      </c>
      <c r="B1872" s="632" t="s">
        <v>1955</v>
      </c>
      <c r="C1872" s="632">
        <v>2291</v>
      </c>
    </row>
    <row r="1873" spans="1:3" x14ac:dyDescent="0.25">
      <c r="A1873" s="631" t="s">
        <v>1956</v>
      </c>
      <c r="B1873" s="632" t="s">
        <v>1957</v>
      </c>
      <c r="C1873" s="632">
        <v>6182</v>
      </c>
    </row>
    <row r="1874" spans="1:3" x14ac:dyDescent="0.25">
      <c r="A1874" s="631" t="s">
        <v>1958</v>
      </c>
      <c r="B1874" s="632" t="s">
        <v>1959</v>
      </c>
      <c r="C1874" s="632">
        <v>2291</v>
      </c>
    </row>
    <row r="1875" spans="1:3" x14ac:dyDescent="0.25">
      <c r="A1875" s="631" t="s">
        <v>1960</v>
      </c>
      <c r="B1875" s="632" t="s">
        <v>1961</v>
      </c>
      <c r="C1875" s="632">
        <v>6182</v>
      </c>
    </row>
    <row r="1876" spans="1:3" x14ac:dyDescent="0.25">
      <c r="A1876" s="631" t="s">
        <v>1962</v>
      </c>
      <c r="B1876" s="632" t="s">
        <v>1963</v>
      </c>
      <c r="C1876" s="632">
        <v>5117</v>
      </c>
    </row>
    <row r="1877" spans="1:3" x14ac:dyDescent="0.25">
      <c r="A1877" s="631" t="s">
        <v>1964</v>
      </c>
      <c r="B1877" s="632" t="s">
        <v>1965</v>
      </c>
      <c r="C1877" s="632">
        <v>2291</v>
      </c>
    </row>
    <row r="1878" spans="1:3" x14ac:dyDescent="0.25">
      <c r="A1878" s="631" t="s">
        <v>1966</v>
      </c>
      <c r="B1878" s="632" t="s">
        <v>1967</v>
      </c>
      <c r="C1878" s="632">
        <v>6182</v>
      </c>
    </row>
    <row r="1879" spans="1:3" x14ac:dyDescent="0.25">
      <c r="A1879" s="631" t="s">
        <v>1968</v>
      </c>
      <c r="B1879" s="632" t="s">
        <v>1969</v>
      </c>
      <c r="C1879" s="632">
        <v>5117</v>
      </c>
    </row>
    <row r="1880" spans="1:3" x14ac:dyDescent="0.25">
      <c r="A1880" s="631" t="s">
        <v>1970</v>
      </c>
      <c r="B1880" s="632" t="s">
        <v>1969</v>
      </c>
      <c r="C1880" s="632">
        <v>2291</v>
      </c>
    </row>
    <row r="1881" spans="1:3" x14ac:dyDescent="0.25">
      <c r="A1881" s="631" t="s">
        <v>1971</v>
      </c>
      <c r="B1881" s="632" t="s">
        <v>1972</v>
      </c>
      <c r="C1881" s="632">
        <v>6182</v>
      </c>
    </row>
    <row r="1882" spans="1:3" x14ac:dyDescent="0.25">
      <c r="A1882" s="631" t="s">
        <v>1973</v>
      </c>
      <c r="B1882" s="632" t="s">
        <v>1974</v>
      </c>
      <c r="C1882" s="632">
        <v>5117</v>
      </c>
    </row>
    <row r="1883" spans="1:3" x14ac:dyDescent="0.25">
      <c r="A1883" s="631" t="s">
        <v>1975</v>
      </c>
      <c r="B1883" s="632" t="s">
        <v>1974</v>
      </c>
      <c r="C1883" s="632">
        <v>2291</v>
      </c>
    </row>
    <row r="1884" spans="1:3" x14ac:dyDescent="0.25">
      <c r="A1884" s="631" t="s">
        <v>1976</v>
      </c>
      <c r="B1884" s="632" t="s">
        <v>1977</v>
      </c>
      <c r="C1884" s="632">
        <v>6182</v>
      </c>
    </row>
    <row r="1885" spans="1:3" x14ac:dyDescent="0.25">
      <c r="A1885" s="631" t="s">
        <v>4352</v>
      </c>
      <c r="B1885" s="632" t="s">
        <v>4353</v>
      </c>
      <c r="C1885" s="632">
        <v>5594</v>
      </c>
    </row>
    <row r="1886" spans="1:3" x14ac:dyDescent="0.25">
      <c r="A1886" s="631" t="s">
        <v>4354</v>
      </c>
      <c r="B1886" s="632" t="s">
        <v>4353</v>
      </c>
      <c r="C1886" s="632">
        <v>2291</v>
      </c>
    </row>
    <row r="1887" spans="1:3" x14ac:dyDescent="0.25">
      <c r="A1887" s="631" t="s">
        <v>1978</v>
      </c>
      <c r="B1887" s="632" t="s">
        <v>1979</v>
      </c>
      <c r="C1887" s="632">
        <v>6182</v>
      </c>
    </row>
    <row r="1888" spans="1:3" x14ac:dyDescent="0.25">
      <c r="A1888" s="631" t="s">
        <v>1980</v>
      </c>
      <c r="B1888" s="632" t="s">
        <v>1981</v>
      </c>
      <c r="C1888" s="632">
        <v>5023</v>
      </c>
    </row>
    <row r="1889" spans="1:3" x14ac:dyDescent="0.25">
      <c r="A1889" s="631" t="s">
        <v>1982</v>
      </c>
      <c r="B1889" s="632" t="s">
        <v>1983</v>
      </c>
      <c r="C1889" s="632">
        <v>5117</v>
      </c>
    </row>
    <row r="1890" spans="1:3" x14ac:dyDescent="0.25">
      <c r="A1890" s="631" t="s">
        <v>1984</v>
      </c>
      <c r="B1890" s="632" t="s">
        <v>1985</v>
      </c>
      <c r="C1890" s="632">
        <v>5117</v>
      </c>
    </row>
    <row r="1891" spans="1:3" x14ac:dyDescent="0.25">
      <c r="A1891" s="631" t="s">
        <v>1986</v>
      </c>
      <c r="B1891" s="632" t="s">
        <v>1987</v>
      </c>
      <c r="C1891" s="632">
        <v>4225</v>
      </c>
    </row>
    <row r="1892" spans="1:3" x14ac:dyDescent="0.25">
      <c r="A1892" s="631" t="s">
        <v>1988</v>
      </c>
      <c r="B1892" s="632" t="s">
        <v>1989</v>
      </c>
      <c r="C1892" s="632">
        <v>6182</v>
      </c>
    </row>
    <row r="1893" spans="1:3" x14ac:dyDescent="0.25">
      <c r="A1893" s="631" t="s">
        <v>1990</v>
      </c>
      <c r="B1893" s="632" t="s">
        <v>1991</v>
      </c>
      <c r="C1893" s="632">
        <v>5117</v>
      </c>
    </row>
    <row r="1894" spans="1:3" x14ac:dyDescent="0.25">
      <c r="A1894" s="631" t="s">
        <v>1992</v>
      </c>
      <c r="B1894" s="632" t="s">
        <v>1993</v>
      </c>
      <c r="C1894" s="632">
        <v>4225</v>
      </c>
    </row>
    <row r="1895" spans="1:3" x14ac:dyDescent="0.25">
      <c r="A1895" s="631" t="s">
        <v>1994</v>
      </c>
      <c r="B1895" s="632" t="s">
        <v>1995</v>
      </c>
      <c r="C1895" s="632">
        <v>6182</v>
      </c>
    </row>
    <row r="1896" spans="1:3" x14ac:dyDescent="0.25">
      <c r="A1896" s="631" t="s">
        <v>1996</v>
      </c>
      <c r="B1896" s="632" t="s">
        <v>1997</v>
      </c>
      <c r="C1896" s="632">
        <v>5117</v>
      </c>
    </row>
    <row r="1897" spans="1:3" x14ac:dyDescent="0.25">
      <c r="A1897" s="631" t="s">
        <v>1998</v>
      </c>
      <c r="B1897" s="632" t="s">
        <v>1999</v>
      </c>
      <c r="C1897" s="632">
        <v>4225</v>
      </c>
    </row>
    <row r="1898" spans="1:3" x14ac:dyDescent="0.25">
      <c r="A1898" s="631" t="s">
        <v>2000</v>
      </c>
      <c r="B1898" s="632" t="s">
        <v>1999</v>
      </c>
      <c r="C1898" s="632">
        <v>6182</v>
      </c>
    </row>
    <row r="1899" spans="1:3" x14ac:dyDescent="0.25">
      <c r="A1899" s="631" t="s">
        <v>2001</v>
      </c>
      <c r="B1899" s="632" t="s">
        <v>2002</v>
      </c>
      <c r="C1899" s="632">
        <v>5117</v>
      </c>
    </row>
    <row r="1900" spans="1:3" x14ac:dyDescent="0.25">
      <c r="A1900" s="631" t="s">
        <v>2003</v>
      </c>
      <c r="B1900" s="632" t="s">
        <v>2004</v>
      </c>
      <c r="C1900" s="632">
        <v>4225</v>
      </c>
    </row>
    <row r="1901" spans="1:3" x14ac:dyDescent="0.25">
      <c r="A1901" s="631" t="s">
        <v>2005</v>
      </c>
      <c r="B1901" s="632" t="s">
        <v>2006</v>
      </c>
      <c r="C1901" s="632">
        <v>6182</v>
      </c>
    </row>
    <row r="1902" spans="1:3" x14ac:dyDescent="0.25">
      <c r="A1902" s="631" t="s">
        <v>2007</v>
      </c>
      <c r="B1902" s="632" t="s">
        <v>2008</v>
      </c>
      <c r="C1902" s="632">
        <v>4545</v>
      </c>
    </row>
    <row r="1903" spans="1:3" x14ac:dyDescent="0.25">
      <c r="A1903" s="631" t="s">
        <v>2009</v>
      </c>
      <c r="B1903" s="632" t="s">
        <v>2010</v>
      </c>
      <c r="C1903" s="632">
        <v>4545</v>
      </c>
    </row>
    <row r="1904" spans="1:3" x14ac:dyDescent="0.25">
      <c r="A1904" s="631" t="s">
        <v>2011</v>
      </c>
      <c r="B1904" s="632" t="s">
        <v>2012</v>
      </c>
      <c r="C1904" s="632">
        <v>4545</v>
      </c>
    </row>
    <row r="1905" spans="1:3" x14ac:dyDescent="0.25">
      <c r="A1905" s="631" t="s">
        <v>2013</v>
      </c>
      <c r="B1905" s="632" t="s">
        <v>2014</v>
      </c>
      <c r="C1905" s="632">
        <v>4545</v>
      </c>
    </row>
    <row r="1906" spans="1:3" x14ac:dyDescent="0.25">
      <c r="A1906" s="631" t="s">
        <v>2015</v>
      </c>
      <c r="B1906" s="632" t="s">
        <v>2016</v>
      </c>
      <c r="C1906" s="632">
        <v>4545</v>
      </c>
    </row>
    <row r="1907" spans="1:3" x14ac:dyDescent="0.25">
      <c r="A1907" s="631" t="s">
        <v>2017</v>
      </c>
      <c r="B1907" s="632" t="s">
        <v>2018</v>
      </c>
      <c r="C1907" s="632">
        <v>4545</v>
      </c>
    </row>
    <row r="1908" spans="1:3" x14ac:dyDescent="0.25">
      <c r="A1908" s="631" t="s">
        <v>2019</v>
      </c>
      <c r="B1908" s="632" t="s">
        <v>2020</v>
      </c>
      <c r="C1908" s="632">
        <v>5117</v>
      </c>
    </row>
    <row r="1909" spans="1:3" x14ac:dyDescent="0.25">
      <c r="A1909" s="631" t="s">
        <v>2021</v>
      </c>
      <c r="B1909" s="632" t="s">
        <v>2022</v>
      </c>
      <c r="C1909" s="632">
        <v>2506</v>
      </c>
    </row>
    <row r="1910" spans="1:3" x14ac:dyDescent="0.25">
      <c r="A1910" s="631" t="s">
        <v>2023</v>
      </c>
      <c r="B1910" s="632" t="s">
        <v>2024</v>
      </c>
      <c r="C1910" s="632">
        <v>5117</v>
      </c>
    </row>
    <row r="1911" spans="1:3" x14ac:dyDescent="0.25">
      <c r="A1911" s="631" t="s">
        <v>2025</v>
      </c>
      <c r="B1911" s="632" t="s">
        <v>2026</v>
      </c>
      <c r="C1911" s="632">
        <v>2506</v>
      </c>
    </row>
    <row r="1912" spans="1:3" x14ac:dyDescent="0.25">
      <c r="A1912" s="631" t="s">
        <v>2027</v>
      </c>
      <c r="B1912" s="632" t="s">
        <v>2028</v>
      </c>
      <c r="C1912" s="632">
        <v>5117</v>
      </c>
    </row>
    <row r="1913" spans="1:3" x14ac:dyDescent="0.25">
      <c r="A1913" s="631" t="s">
        <v>2029</v>
      </c>
      <c r="B1913" s="632" t="s">
        <v>2030</v>
      </c>
      <c r="C1913" s="632">
        <v>5594</v>
      </c>
    </row>
    <row r="1914" spans="1:3" x14ac:dyDescent="0.25">
      <c r="A1914" s="631" t="s">
        <v>2031</v>
      </c>
      <c r="B1914" s="632" t="s">
        <v>2032</v>
      </c>
      <c r="C1914" s="632">
        <v>5117</v>
      </c>
    </row>
    <row r="1915" spans="1:3" x14ac:dyDescent="0.25">
      <c r="A1915" s="631" t="s">
        <v>2033</v>
      </c>
      <c r="B1915" s="632" t="s">
        <v>2034</v>
      </c>
      <c r="C1915" s="632">
        <v>2506</v>
      </c>
    </row>
    <row r="1916" spans="1:3" x14ac:dyDescent="0.25">
      <c r="A1916" s="631" t="s">
        <v>2035</v>
      </c>
      <c r="B1916" s="632" t="s">
        <v>2036</v>
      </c>
      <c r="C1916" s="632">
        <v>5117</v>
      </c>
    </row>
    <row r="1917" spans="1:3" x14ac:dyDescent="0.25">
      <c r="A1917" s="631" t="s">
        <v>2037</v>
      </c>
      <c r="B1917" s="632" t="s">
        <v>2038</v>
      </c>
      <c r="C1917" s="632">
        <v>2506</v>
      </c>
    </row>
    <row r="1918" spans="1:3" x14ac:dyDescent="0.25">
      <c r="A1918" s="631" t="s">
        <v>2039</v>
      </c>
      <c r="B1918" s="632" t="s">
        <v>2040</v>
      </c>
      <c r="C1918" s="632">
        <v>6182</v>
      </c>
    </row>
    <row r="1919" spans="1:3" x14ac:dyDescent="0.25">
      <c r="A1919" s="631" t="s">
        <v>2041</v>
      </c>
      <c r="B1919" s="632" t="s">
        <v>2042</v>
      </c>
      <c r="C1919" s="632">
        <v>6182</v>
      </c>
    </row>
    <row r="1920" spans="1:3" x14ac:dyDescent="0.25">
      <c r="A1920" s="631" t="s">
        <v>2043</v>
      </c>
      <c r="B1920" s="632" t="s">
        <v>2044</v>
      </c>
      <c r="C1920" s="632">
        <v>6182</v>
      </c>
    </row>
    <row r="1921" spans="1:3" x14ac:dyDescent="0.25">
      <c r="A1921" s="631" t="s">
        <v>2045</v>
      </c>
      <c r="B1921" s="632" t="s">
        <v>2046</v>
      </c>
      <c r="C1921" s="632">
        <v>6182</v>
      </c>
    </row>
    <row r="1922" spans="1:3" x14ac:dyDescent="0.25">
      <c r="A1922" s="631" t="s">
        <v>2047</v>
      </c>
      <c r="B1922" s="632" t="s">
        <v>2048</v>
      </c>
      <c r="C1922" s="632">
        <v>6182</v>
      </c>
    </row>
    <row r="1923" spans="1:3" x14ac:dyDescent="0.25">
      <c r="A1923" s="631">
        <v>5120033</v>
      </c>
      <c r="B1923" s="632" t="s">
        <v>2049</v>
      </c>
      <c r="C1923" s="632">
        <v>5117</v>
      </c>
    </row>
    <row r="1924" spans="1:3" x14ac:dyDescent="0.25">
      <c r="A1924" s="631" t="s">
        <v>2050</v>
      </c>
      <c r="B1924" s="632" t="s">
        <v>2051</v>
      </c>
      <c r="C1924" s="632">
        <v>5117</v>
      </c>
    </row>
    <row r="1925" spans="1:3" x14ac:dyDescent="0.25">
      <c r="A1925" s="631" t="s">
        <v>2052</v>
      </c>
      <c r="B1925" s="632" t="s">
        <v>2053</v>
      </c>
      <c r="C1925" s="632">
        <v>3264</v>
      </c>
    </row>
    <row r="1926" spans="1:3" x14ac:dyDescent="0.25">
      <c r="A1926" s="631" t="s">
        <v>2054</v>
      </c>
      <c r="B1926" s="632" t="s">
        <v>2055</v>
      </c>
      <c r="C1926" s="632">
        <v>3264</v>
      </c>
    </row>
    <row r="1927" spans="1:3" x14ac:dyDescent="0.25">
      <c r="A1927" s="631">
        <v>5120036</v>
      </c>
      <c r="B1927" s="632" t="s">
        <v>2056</v>
      </c>
      <c r="C1927" s="632">
        <v>5117</v>
      </c>
    </row>
    <row r="1928" spans="1:3" x14ac:dyDescent="0.25">
      <c r="A1928" s="631" t="s">
        <v>2057</v>
      </c>
      <c r="B1928" s="632" t="s">
        <v>2058</v>
      </c>
      <c r="C1928" s="632">
        <v>5117</v>
      </c>
    </row>
    <row r="1929" spans="1:3" x14ac:dyDescent="0.25">
      <c r="A1929" s="631" t="s">
        <v>2059</v>
      </c>
      <c r="B1929" s="632" t="s">
        <v>2060</v>
      </c>
      <c r="C1929" s="632">
        <v>3264</v>
      </c>
    </row>
    <row r="1930" spans="1:3" x14ac:dyDescent="0.25">
      <c r="A1930" s="631" t="s">
        <v>2061</v>
      </c>
      <c r="B1930" s="632" t="s">
        <v>2062</v>
      </c>
      <c r="C1930" s="632">
        <v>3264</v>
      </c>
    </row>
    <row r="1931" spans="1:3" x14ac:dyDescent="0.25">
      <c r="A1931" s="631">
        <v>5120039</v>
      </c>
      <c r="B1931" s="632" t="s">
        <v>2063</v>
      </c>
      <c r="C1931" s="632">
        <v>5117</v>
      </c>
    </row>
    <row r="1932" spans="1:3" x14ac:dyDescent="0.25">
      <c r="A1932" s="631" t="s">
        <v>2064</v>
      </c>
      <c r="B1932" s="632" t="s">
        <v>2065</v>
      </c>
      <c r="C1932" s="632">
        <v>5117</v>
      </c>
    </row>
    <row r="1933" spans="1:3" x14ac:dyDescent="0.25">
      <c r="A1933" s="631" t="s">
        <v>2066</v>
      </c>
      <c r="B1933" s="632" t="s">
        <v>2067</v>
      </c>
      <c r="C1933" s="632">
        <v>3264</v>
      </c>
    </row>
    <row r="1934" spans="1:3" x14ac:dyDescent="0.25">
      <c r="A1934" s="631" t="s">
        <v>2068</v>
      </c>
      <c r="B1934" s="632" t="s">
        <v>2069</v>
      </c>
      <c r="C1934" s="632">
        <v>3264</v>
      </c>
    </row>
    <row r="1935" spans="1:3" x14ac:dyDescent="0.25">
      <c r="A1935" s="631">
        <v>5120042</v>
      </c>
      <c r="B1935" s="632" t="s">
        <v>2070</v>
      </c>
      <c r="C1935" s="632">
        <v>5117</v>
      </c>
    </row>
    <row r="1936" spans="1:3" x14ac:dyDescent="0.25">
      <c r="A1936" s="631" t="s">
        <v>2071</v>
      </c>
      <c r="B1936" s="632" t="s">
        <v>2072</v>
      </c>
      <c r="C1936" s="632">
        <v>5117</v>
      </c>
    </row>
    <row r="1937" spans="1:3" x14ac:dyDescent="0.25">
      <c r="A1937" s="631" t="s">
        <v>2073</v>
      </c>
      <c r="B1937" s="632" t="s">
        <v>2074</v>
      </c>
      <c r="C1937" s="632">
        <v>3264</v>
      </c>
    </row>
    <row r="1938" spans="1:3" x14ac:dyDescent="0.25">
      <c r="A1938" s="631" t="s">
        <v>2075</v>
      </c>
      <c r="B1938" s="632" t="s">
        <v>2076</v>
      </c>
      <c r="C1938" s="632">
        <v>3264</v>
      </c>
    </row>
    <row r="1939" spans="1:3" x14ac:dyDescent="0.25">
      <c r="A1939" s="631">
        <v>5120045</v>
      </c>
      <c r="B1939" s="632" t="s">
        <v>2077</v>
      </c>
      <c r="C1939" s="632">
        <v>5117</v>
      </c>
    </row>
    <row r="1940" spans="1:3" x14ac:dyDescent="0.25">
      <c r="A1940" s="631" t="s">
        <v>2078</v>
      </c>
      <c r="B1940" s="632" t="s">
        <v>2079</v>
      </c>
      <c r="C1940" s="632">
        <v>5117</v>
      </c>
    </row>
    <row r="1941" spans="1:3" x14ac:dyDescent="0.25">
      <c r="A1941" s="631" t="s">
        <v>2080</v>
      </c>
      <c r="B1941" s="632" t="s">
        <v>2081</v>
      </c>
      <c r="C1941" s="632">
        <v>3264</v>
      </c>
    </row>
    <row r="1942" spans="1:3" x14ac:dyDescent="0.25">
      <c r="A1942" s="631" t="s">
        <v>2082</v>
      </c>
      <c r="B1942" s="632" t="s">
        <v>2083</v>
      </c>
      <c r="C1942" s="632">
        <v>3264</v>
      </c>
    </row>
    <row r="1943" spans="1:3" x14ac:dyDescent="0.25">
      <c r="A1943" s="631">
        <v>5120133</v>
      </c>
      <c r="B1943" s="632" t="s">
        <v>2084</v>
      </c>
      <c r="C1943" s="632">
        <v>5594</v>
      </c>
    </row>
    <row r="1944" spans="1:3" x14ac:dyDescent="0.25">
      <c r="A1944" s="631" t="s">
        <v>2085</v>
      </c>
      <c r="B1944" s="632" t="s">
        <v>2086</v>
      </c>
      <c r="C1944" s="632">
        <v>5594</v>
      </c>
    </row>
    <row r="1945" spans="1:3" x14ac:dyDescent="0.25">
      <c r="A1945" s="631">
        <v>5120136</v>
      </c>
      <c r="B1945" s="632" t="s">
        <v>2087</v>
      </c>
      <c r="C1945" s="632">
        <v>5594</v>
      </c>
    </row>
    <row r="1946" spans="1:3" x14ac:dyDescent="0.25">
      <c r="A1946" s="631" t="s">
        <v>2088</v>
      </c>
      <c r="B1946" s="632" t="s">
        <v>2089</v>
      </c>
      <c r="C1946" s="632">
        <v>5594</v>
      </c>
    </row>
    <row r="1947" spans="1:3" x14ac:dyDescent="0.25">
      <c r="A1947" s="631">
        <v>5120139</v>
      </c>
      <c r="B1947" s="632" t="s">
        <v>2090</v>
      </c>
      <c r="C1947" s="632">
        <v>5594</v>
      </c>
    </row>
    <row r="1948" spans="1:3" x14ac:dyDescent="0.25">
      <c r="A1948" s="631" t="s">
        <v>2091</v>
      </c>
      <c r="B1948" s="632" t="s">
        <v>2092</v>
      </c>
      <c r="C1948" s="632">
        <v>5594</v>
      </c>
    </row>
    <row r="1949" spans="1:3" x14ac:dyDescent="0.25">
      <c r="A1949" s="631">
        <v>5120142</v>
      </c>
      <c r="B1949" s="632" t="s">
        <v>2093</v>
      </c>
      <c r="C1949" s="632">
        <v>5594</v>
      </c>
    </row>
    <row r="1950" spans="1:3" x14ac:dyDescent="0.25">
      <c r="A1950" s="631" t="s">
        <v>2094</v>
      </c>
      <c r="B1950" s="632" t="s">
        <v>2095</v>
      </c>
      <c r="C1950" s="632">
        <v>5594</v>
      </c>
    </row>
    <row r="1951" spans="1:3" x14ac:dyDescent="0.25">
      <c r="A1951" s="631">
        <v>5120145</v>
      </c>
      <c r="B1951" s="632" t="s">
        <v>2096</v>
      </c>
      <c r="C1951" s="632">
        <v>5594</v>
      </c>
    </row>
    <row r="1952" spans="1:3" x14ac:dyDescent="0.25">
      <c r="A1952" s="631" t="s">
        <v>2097</v>
      </c>
      <c r="B1952" s="632" t="s">
        <v>2098</v>
      </c>
      <c r="C1952" s="632">
        <v>5594</v>
      </c>
    </row>
    <row r="1953" spans="1:3" x14ac:dyDescent="0.25">
      <c r="A1953" s="631">
        <v>5130033</v>
      </c>
      <c r="B1953" s="632" t="s">
        <v>2099</v>
      </c>
      <c r="C1953" s="632">
        <v>5117</v>
      </c>
    </row>
    <row r="1954" spans="1:3" x14ac:dyDescent="0.25">
      <c r="A1954" s="631" t="s">
        <v>2100</v>
      </c>
      <c r="B1954" s="632" t="s">
        <v>2101</v>
      </c>
      <c r="C1954" s="632">
        <v>5117</v>
      </c>
    </row>
    <row r="1955" spans="1:3" x14ac:dyDescent="0.25">
      <c r="A1955" s="631" t="s">
        <v>2102</v>
      </c>
      <c r="B1955" s="632" t="s">
        <v>2103</v>
      </c>
      <c r="C1955" s="632">
        <v>3264</v>
      </c>
    </row>
    <row r="1956" spans="1:3" x14ac:dyDescent="0.25">
      <c r="A1956" s="631" t="s">
        <v>2104</v>
      </c>
      <c r="B1956" s="632" t="s">
        <v>2105</v>
      </c>
      <c r="C1956" s="632">
        <v>3264</v>
      </c>
    </row>
    <row r="1957" spans="1:3" x14ac:dyDescent="0.25">
      <c r="A1957" s="631">
        <v>5130036</v>
      </c>
      <c r="B1957" s="632" t="s">
        <v>2106</v>
      </c>
      <c r="C1957" s="632">
        <v>5117</v>
      </c>
    </row>
    <row r="1958" spans="1:3" x14ac:dyDescent="0.25">
      <c r="A1958" s="631" t="s">
        <v>2107</v>
      </c>
      <c r="B1958" s="632" t="s">
        <v>2108</v>
      </c>
      <c r="C1958" s="632">
        <v>5117</v>
      </c>
    </row>
    <row r="1959" spans="1:3" x14ac:dyDescent="0.25">
      <c r="A1959" s="631" t="s">
        <v>2109</v>
      </c>
      <c r="B1959" s="632" t="s">
        <v>2110</v>
      </c>
      <c r="C1959" s="632">
        <v>3264</v>
      </c>
    </row>
    <row r="1960" spans="1:3" x14ac:dyDescent="0.25">
      <c r="A1960" s="631" t="s">
        <v>2111</v>
      </c>
      <c r="B1960" s="632" t="s">
        <v>2112</v>
      </c>
      <c r="C1960" s="632">
        <v>3264</v>
      </c>
    </row>
    <row r="1961" spans="1:3" x14ac:dyDescent="0.25">
      <c r="A1961" s="631">
        <v>5130039</v>
      </c>
      <c r="B1961" s="632" t="s">
        <v>2113</v>
      </c>
      <c r="C1961" s="632">
        <v>5117</v>
      </c>
    </row>
    <row r="1962" spans="1:3" x14ac:dyDescent="0.25">
      <c r="A1962" s="631" t="s">
        <v>2114</v>
      </c>
      <c r="B1962" s="632" t="s">
        <v>2115</v>
      </c>
      <c r="C1962" s="632">
        <v>5117</v>
      </c>
    </row>
    <row r="1963" spans="1:3" x14ac:dyDescent="0.25">
      <c r="A1963" s="631" t="s">
        <v>2116</v>
      </c>
      <c r="B1963" s="632" t="s">
        <v>2117</v>
      </c>
      <c r="C1963" s="632">
        <v>3264</v>
      </c>
    </row>
    <row r="1964" spans="1:3" x14ac:dyDescent="0.25">
      <c r="A1964" s="631" t="s">
        <v>2118</v>
      </c>
      <c r="B1964" s="632" t="s">
        <v>2119</v>
      </c>
      <c r="C1964" s="632">
        <v>3264</v>
      </c>
    </row>
    <row r="1965" spans="1:3" x14ac:dyDescent="0.25">
      <c r="A1965" s="631">
        <v>5130042</v>
      </c>
      <c r="B1965" s="632" t="s">
        <v>2120</v>
      </c>
      <c r="C1965" s="632">
        <v>5117</v>
      </c>
    </row>
    <row r="1966" spans="1:3" x14ac:dyDescent="0.25">
      <c r="A1966" s="631" t="s">
        <v>2121</v>
      </c>
      <c r="B1966" s="632" t="s">
        <v>2122</v>
      </c>
      <c r="C1966" s="632">
        <v>5117</v>
      </c>
    </row>
    <row r="1967" spans="1:3" x14ac:dyDescent="0.25">
      <c r="A1967" s="631" t="s">
        <v>2123</v>
      </c>
      <c r="B1967" s="632" t="s">
        <v>2124</v>
      </c>
      <c r="C1967" s="632">
        <v>3264</v>
      </c>
    </row>
    <row r="1968" spans="1:3" x14ac:dyDescent="0.25">
      <c r="A1968" s="631" t="s">
        <v>2125</v>
      </c>
      <c r="B1968" s="632" t="s">
        <v>2126</v>
      </c>
      <c r="C1968" s="632">
        <v>3264</v>
      </c>
    </row>
    <row r="1969" spans="1:3" x14ac:dyDescent="0.25">
      <c r="A1969" s="631">
        <v>5130045</v>
      </c>
      <c r="B1969" s="632" t="s">
        <v>2127</v>
      </c>
      <c r="C1969" s="632">
        <v>5117</v>
      </c>
    </row>
    <row r="1970" spans="1:3" x14ac:dyDescent="0.25">
      <c r="A1970" s="631" t="s">
        <v>2128</v>
      </c>
      <c r="B1970" s="632" t="s">
        <v>2129</v>
      </c>
      <c r="C1970" s="632">
        <v>5117</v>
      </c>
    </row>
    <row r="1971" spans="1:3" x14ac:dyDescent="0.25">
      <c r="A1971" s="631" t="s">
        <v>2130</v>
      </c>
      <c r="B1971" s="632" t="s">
        <v>2131</v>
      </c>
      <c r="C1971" s="632">
        <v>3264</v>
      </c>
    </row>
    <row r="1972" spans="1:3" x14ac:dyDescent="0.25">
      <c r="A1972" s="631" t="s">
        <v>2132</v>
      </c>
      <c r="B1972" s="632" t="s">
        <v>2133</v>
      </c>
      <c r="C1972" s="632">
        <v>3264</v>
      </c>
    </row>
    <row r="1973" spans="1:3" x14ac:dyDescent="0.25">
      <c r="A1973" s="631">
        <v>5130133</v>
      </c>
      <c r="B1973" s="632" t="s">
        <v>2134</v>
      </c>
      <c r="C1973" s="632">
        <v>5594</v>
      </c>
    </row>
    <row r="1974" spans="1:3" x14ac:dyDescent="0.25">
      <c r="A1974" s="631" t="s">
        <v>2135</v>
      </c>
      <c r="B1974" s="632" t="s">
        <v>2136</v>
      </c>
      <c r="C1974" s="632">
        <v>5594</v>
      </c>
    </row>
    <row r="1975" spans="1:3" x14ac:dyDescent="0.25">
      <c r="A1975" s="631">
        <v>5130136</v>
      </c>
      <c r="B1975" s="632" t="s">
        <v>2137</v>
      </c>
      <c r="C1975" s="632">
        <v>5594</v>
      </c>
    </row>
    <row r="1976" spans="1:3" x14ac:dyDescent="0.25">
      <c r="A1976" s="631" t="s">
        <v>2138</v>
      </c>
      <c r="B1976" s="632" t="s">
        <v>2139</v>
      </c>
      <c r="C1976" s="632">
        <v>5594</v>
      </c>
    </row>
    <row r="1977" spans="1:3" x14ac:dyDescent="0.25">
      <c r="A1977" s="631">
        <v>5130139</v>
      </c>
      <c r="B1977" s="632" t="s">
        <v>2140</v>
      </c>
      <c r="C1977" s="632">
        <v>5594</v>
      </c>
    </row>
    <row r="1978" spans="1:3" x14ac:dyDescent="0.25">
      <c r="A1978" s="631" t="s">
        <v>2141</v>
      </c>
      <c r="B1978" s="632" t="s">
        <v>2142</v>
      </c>
      <c r="C1978" s="632">
        <v>5594</v>
      </c>
    </row>
    <row r="1979" spans="1:3" x14ac:dyDescent="0.25">
      <c r="A1979" s="631">
        <v>5130142</v>
      </c>
      <c r="B1979" s="632" t="s">
        <v>2143</v>
      </c>
      <c r="C1979" s="632">
        <v>5594</v>
      </c>
    </row>
    <row r="1980" spans="1:3" x14ac:dyDescent="0.25">
      <c r="A1980" s="631" t="s">
        <v>2144</v>
      </c>
      <c r="B1980" s="632" t="s">
        <v>2145</v>
      </c>
      <c r="C1980" s="632">
        <v>5594</v>
      </c>
    </row>
    <row r="1981" spans="1:3" x14ac:dyDescent="0.25">
      <c r="A1981" s="631">
        <v>5130145</v>
      </c>
      <c r="B1981" s="632" t="s">
        <v>2146</v>
      </c>
      <c r="C1981" s="632">
        <v>5594</v>
      </c>
    </row>
    <row r="1982" spans="1:3" x14ac:dyDescent="0.25">
      <c r="A1982" s="631" t="s">
        <v>2147</v>
      </c>
      <c r="B1982" s="632" t="s">
        <v>2148</v>
      </c>
      <c r="C1982" s="632">
        <v>5594</v>
      </c>
    </row>
    <row r="1983" spans="1:3" x14ac:dyDescent="0.25">
      <c r="A1983" s="631" t="s">
        <v>2149</v>
      </c>
      <c r="B1983" s="632" t="s">
        <v>2150</v>
      </c>
      <c r="C1983" s="632">
        <v>4480</v>
      </c>
    </row>
    <row r="1984" spans="1:3" x14ac:dyDescent="0.25">
      <c r="A1984" s="631" t="s">
        <v>2151</v>
      </c>
      <c r="B1984" s="632" t="s">
        <v>2152</v>
      </c>
      <c r="C1984" s="632">
        <v>4480</v>
      </c>
    </row>
    <row r="1985" spans="1:3" x14ac:dyDescent="0.25">
      <c r="A1985" s="631" t="s">
        <v>2153</v>
      </c>
      <c r="B1985" s="632" t="s">
        <v>2154</v>
      </c>
      <c r="C1985" s="632">
        <v>4480</v>
      </c>
    </row>
    <row r="1986" spans="1:3" x14ac:dyDescent="0.25">
      <c r="A1986" s="631" t="s">
        <v>2155</v>
      </c>
      <c r="B1986" s="632" t="s">
        <v>2156</v>
      </c>
      <c r="C1986" s="632">
        <v>4480</v>
      </c>
    </row>
    <row r="1987" spans="1:3" x14ac:dyDescent="0.25">
      <c r="A1987" s="631" t="s">
        <v>2157</v>
      </c>
      <c r="B1987" s="632" t="s">
        <v>2158</v>
      </c>
      <c r="C1987" s="632">
        <v>6900</v>
      </c>
    </row>
    <row r="1988" spans="1:3" x14ac:dyDescent="0.25">
      <c r="A1988" s="631" t="s">
        <v>2159</v>
      </c>
      <c r="B1988" s="632" t="s">
        <v>2160</v>
      </c>
      <c r="C1988" s="632">
        <v>6900</v>
      </c>
    </row>
    <row r="1989" spans="1:3" x14ac:dyDescent="0.25">
      <c r="A1989" s="631" t="s">
        <v>2161</v>
      </c>
      <c r="B1989" s="632" t="s">
        <v>2162</v>
      </c>
      <c r="C1989" s="632">
        <v>6900</v>
      </c>
    </row>
    <row r="1990" spans="1:3" x14ac:dyDescent="0.25">
      <c r="A1990" s="631" t="s">
        <v>2163</v>
      </c>
      <c r="B1990" s="632" t="s">
        <v>2164</v>
      </c>
      <c r="C1990" s="632">
        <v>6900</v>
      </c>
    </row>
    <row r="1991" spans="1:3" x14ac:dyDescent="0.25">
      <c r="A1991" s="631" t="s">
        <v>2165</v>
      </c>
      <c r="B1991" s="632" t="s">
        <v>2166</v>
      </c>
      <c r="C1991" s="632">
        <v>4480</v>
      </c>
    </row>
    <row r="1992" spans="1:3" x14ac:dyDescent="0.25">
      <c r="A1992" s="631" t="s">
        <v>2167</v>
      </c>
      <c r="B1992" s="632" t="s">
        <v>2168</v>
      </c>
      <c r="C1992" s="632">
        <v>4480</v>
      </c>
    </row>
    <row r="1993" spans="1:3" x14ac:dyDescent="0.25">
      <c r="A1993" s="631" t="s">
        <v>2169</v>
      </c>
      <c r="B1993" s="632" t="s">
        <v>2170</v>
      </c>
      <c r="C1993" s="632">
        <v>4480</v>
      </c>
    </row>
    <row r="1994" spans="1:3" x14ac:dyDescent="0.25">
      <c r="A1994" s="631" t="s">
        <v>2171</v>
      </c>
      <c r="B1994" s="632" t="s">
        <v>2172</v>
      </c>
      <c r="C1994" s="632">
        <v>4480</v>
      </c>
    </row>
    <row r="1995" spans="1:3" x14ac:dyDescent="0.25">
      <c r="A1995" s="631" t="s">
        <v>2173</v>
      </c>
      <c r="B1995" s="632" t="s">
        <v>2174</v>
      </c>
      <c r="C1995" s="632">
        <v>6900</v>
      </c>
    </row>
    <row r="1996" spans="1:3" x14ac:dyDescent="0.25">
      <c r="A1996" s="631" t="s">
        <v>2175</v>
      </c>
      <c r="B1996" s="632" t="s">
        <v>2176</v>
      </c>
      <c r="C1996" s="632">
        <v>6900</v>
      </c>
    </row>
    <row r="1997" spans="1:3" x14ac:dyDescent="0.25">
      <c r="A1997" s="631" t="s">
        <v>2177</v>
      </c>
      <c r="B1997" s="632" t="s">
        <v>2178</v>
      </c>
      <c r="C1997" s="632">
        <v>6900</v>
      </c>
    </row>
    <row r="1998" spans="1:3" x14ac:dyDescent="0.25">
      <c r="A1998" s="631" t="s">
        <v>2179</v>
      </c>
      <c r="B1998" s="632" t="s">
        <v>2180</v>
      </c>
      <c r="C1998" s="632">
        <v>6900</v>
      </c>
    </row>
    <row r="1999" spans="1:3" x14ac:dyDescent="0.25">
      <c r="A1999" s="631" t="s">
        <v>2181</v>
      </c>
      <c r="B1999" s="632" t="s">
        <v>2182</v>
      </c>
      <c r="C1999" s="632">
        <v>4761</v>
      </c>
    </row>
    <row r="2000" spans="1:3" x14ac:dyDescent="0.25">
      <c r="A2000" s="631" t="s">
        <v>2183</v>
      </c>
      <c r="B2000" s="632" t="s">
        <v>2184</v>
      </c>
      <c r="C2000" s="632">
        <v>4761</v>
      </c>
    </row>
    <row r="2001" spans="1:3" x14ac:dyDescent="0.25">
      <c r="A2001" s="631" t="s">
        <v>2185</v>
      </c>
      <c r="B2001" s="632" t="s">
        <v>2186</v>
      </c>
      <c r="C2001" s="632">
        <v>4761</v>
      </c>
    </row>
    <row r="2002" spans="1:3" x14ac:dyDescent="0.25">
      <c r="A2002" s="631" t="s">
        <v>2187</v>
      </c>
      <c r="B2002" s="632" t="s">
        <v>2188</v>
      </c>
      <c r="C2002" s="632">
        <v>4761</v>
      </c>
    </row>
    <row r="2003" spans="1:3" x14ac:dyDescent="0.25">
      <c r="A2003" s="631" t="s">
        <v>2189</v>
      </c>
      <c r="B2003" s="632" t="s">
        <v>2190</v>
      </c>
      <c r="C2003" s="632">
        <v>4761</v>
      </c>
    </row>
    <row r="2004" spans="1:3" x14ac:dyDescent="0.25">
      <c r="A2004" s="631" t="s">
        <v>2191</v>
      </c>
      <c r="B2004" s="632" t="s">
        <v>2192</v>
      </c>
      <c r="C2004" s="632">
        <v>4761</v>
      </c>
    </row>
    <row r="2005" spans="1:3" x14ac:dyDescent="0.25">
      <c r="A2005" s="631" t="s">
        <v>2193</v>
      </c>
      <c r="B2005" s="632" t="s">
        <v>2194</v>
      </c>
      <c r="C2005" s="632">
        <v>4761</v>
      </c>
    </row>
    <row r="2006" spans="1:3" x14ac:dyDescent="0.25">
      <c r="A2006" s="631" t="s">
        <v>2195</v>
      </c>
      <c r="B2006" s="632" t="s">
        <v>2196</v>
      </c>
      <c r="C2006" s="632">
        <v>4761</v>
      </c>
    </row>
    <row r="2007" spans="1:3" x14ac:dyDescent="0.25">
      <c r="A2007" s="631" t="s">
        <v>2197</v>
      </c>
      <c r="B2007" s="632" t="s">
        <v>2198</v>
      </c>
      <c r="C2007" s="632">
        <v>4761</v>
      </c>
    </row>
    <row r="2008" spans="1:3" x14ac:dyDescent="0.25">
      <c r="A2008" s="631" t="s">
        <v>2199</v>
      </c>
      <c r="B2008" s="632" t="s">
        <v>2200</v>
      </c>
      <c r="C2008" s="632">
        <v>4761</v>
      </c>
    </row>
    <row r="2009" spans="1:3" x14ac:dyDescent="0.25">
      <c r="A2009" s="631" t="s">
        <v>2201</v>
      </c>
      <c r="B2009" s="632" t="s">
        <v>2202</v>
      </c>
      <c r="C2009" s="632">
        <v>4761</v>
      </c>
    </row>
    <row r="2010" spans="1:3" x14ac:dyDescent="0.25">
      <c r="A2010" s="631" t="s">
        <v>2203</v>
      </c>
      <c r="B2010" s="632" t="s">
        <v>2204</v>
      </c>
      <c r="C2010" s="632">
        <v>4761</v>
      </c>
    </row>
    <row r="2011" spans="1:3" x14ac:dyDescent="0.25">
      <c r="A2011" s="631" t="s">
        <v>2205</v>
      </c>
      <c r="B2011" s="632" t="s">
        <v>2206</v>
      </c>
      <c r="C2011" s="632">
        <v>4293</v>
      </c>
    </row>
    <row r="2012" spans="1:3" x14ac:dyDescent="0.25">
      <c r="A2012" s="631" t="s">
        <v>2207</v>
      </c>
      <c r="B2012" s="632" t="s">
        <v>2208</v>
      </c>
      <c r="C2012" s="632">
        <v>4293</v>
      </c>
    </row>
    <row r="2013" spans="1:3" x14ac:dyDescent="0.25">
      <c r="A2013" s="631" t="s">
        <v>2209</v>
      </c>
      <c r="B2013" s="632" t="s">
        <v>2210</v>
      </c>
      <c r="C2013" s="632">
        <v>4293</v>
      </c>
    </row>
    <row r="2014" spans="1:3" x14ac:dyDescent="0.25">
      <c r="A2014" s="631" t="s">
        <v>2211</v>
      </c>
      <c r="B2014" s="632" t="s">
        <v>2212</v>
      </c>
      <c r="C2014" s="632">
        <v>4293</v>
      </c>
    </row>
    <row r="2015" spans="1:3" x14ac:dyDescent="0.25">
      <c r="A2015" s="631" t="s">
        <v>2213</v>
      </c>
      <c r="B2015" s="632" t="s">
        <v>2214</v>
      </c>
      <c r="C2015" s="632">
        <v>4293</v>
      </c>
    </row>
    <row r="2016" spans="1:3" x14ac:dyDescent="0.25">
      <c r="A2016" s="631" t="s">
        <v>2215</v>
      </c>
      <c r="B2016" s="632" t="s">
        <v>2216</v>
      </c>
      <c r="C2016" s="632">
        <v>4293</v>
      </c>
    </row>
    <row r="2017" spans="1:3" x14ac:dyDescent="0.25">
      <c r="A2017" s="631" t="s">
        <v>2217</v>
      </c>
      <c r="B2017" s="632" t="s">
        <v>2218</v>
      </c>
      <c r="C2017" s="632">
        <v>4293</v>
      </c>
    </row>
    <row r="2018" spans="1:3" x14ac:dyDescent="0.25">
      <c r="A2018" s="631" t="s">
        <v>2219</v>
      </c>
      <c r="B2018" s="632" t="s">
        <v>2220</v>
      </c>
      <c r="C2018" s="632">
        <v>4293</v>
      </c>
    </row>
    <row r="2019" spans="1:3" x14ac:dyDescent="0.25">
      <c r="A2019" s="631" t="s">
        <v>2221</v>
      </c>
      <c r="B2019" s="632" t="s">
        <v>2222</v>
      </c>
      <c r="C2019" s="632">
        <v>4293</v>
      </c>
    </row>
    <row r="2020" spans="1:3" x14ac:dyDescent="0.25">
      <c r="A2020" s="631" t="s">
        <v>2223</v>
      </c>
      <c r="B2020" s="632" t="s">
        <v>2224</v>
      </c>
      <c r="C2020" s="632">
        <v>4293</v>
      </c>
    </row>
    <row r="2021" spans="1:3" x14ac:dyDescent="0.25">
      <c r="A2021" s="631" t="s">
        <v>2225</v>
      </c>
      <c r="B2021" s="632" t="s">
        <v>2226</v>
      </c>
      <c r="C2021" s="632">
        <v>4293</v>
      </c>
    </row>
    <row r="2022" spans="1:3" x14ac:dyDescent="0.25">
      <c r="A2022" s="631" t="s">
        <v>2227</v>
      </c>
      <c r="B2022" s="632" t="s">
        <v>2228</v>
      </c>
      <c r="C2022" s="632">
        <v>4293</v>
      </c>
    </row>
    <row r="2023" spans="1:3" x14ac:dyDescent="0.25">
      <c r="A2023" s="631" t="s">
        <v>2229</v>
      </c>
      <c r="B2023" s="632" t="s">
        <v>2230</v>
      </c>
      <c r="C2023" s="632">
        <v>4761</v>
      </c>
    </row>
    <row r="2024" spans="1:3" x14ac:dyDescent="0.25">
      <c r="A2024" s="631" t="s">
        <v>2231</v>
      </c>
      <c r="B2024" s="632" t="s">
        <v>2232</v>
      </c>
      <c r="C2024" s="632">
        <v>4761</v>
      </c>
    </row>
    <row r="2025" spans="1:3" x14ac:dyDescent="0.25">
      <c r="A2025" s="631" t="s">
        <v>2233</v>
      </c>
      <c r="B2025" s="632" t="s">
        <v>2234</v>
      </c>
      <c r="C2025" s="632">
        <v>4761</v>
      </c>
    </row>
    <row r="2026" spans="1:3" x14ac:dyDescent="0.25">
      <c r="A2026" s="631" t="s">
        <v>2235</v>
      </c>
      <c r="B2026" s="632" t="s">
        <v>2236</v>
      </c>
      <c r="C2026" s="632">
        <v>4761</v>
      </c>
    </row>
    <row r="2027" spans="1:3" x14ac:dyDescent="0.25">
      <c r="A2027" s="631" t="s">
        <v>2237</v>
      </c>
      <c r="B2027" s="632" t="s">
        <v>2238</v>
      </c>
      <c r="C2027" s="632">
        <v>4761</v>
      </c>
    </row>
    <row r="2028" spans="1:3" x14ac:dyDescent="0.25">
      <c r="A2028" s="631" t="s">
        <v>2239</v>
      </c>
      <c r="B2028" s="632" t="s">
        <v>2240</v>
      </c>
      <c r="C2028" s="632">
        <v>4761</v>
      </c>
    </row>
    <row r="2029" spans="1:3" x14ac:dyDescent="0.25">
      <c r="A2029" s="631" t="s">
        <v>2241</v>
      </c>
      <c r="B2029" s="632" t="s">
        <v>2242</v>
      </c>
      <c r="C2029" s="632">
        <v>4293</v>
      </c>
    </row>
    <row r="2030" spans="1:3" x14ac:dyDescent="0.25">
      <c r="A2030" s="631" t="s">
        <v>2243</v>
      </c>
      <c r="B2030" s="632" t="s">
        <v>2244</v>
      </c>
      <c r="C2030" s="632">
        <v>4293</v>
      </c>
    </row>
    <row r="2031" spans="1:3" x14ac:dyDescent="0.25">
      <c r="A2031" s="631" t="s">
        <v>2245</v>
      </c>
      <c r="B2031" s="632" t="s">
        <v>2246</v>
      </c>
      <c r="C2031" s="632">
        <v>4293</v>
      </c>
    </row>
    <row r="2032" spans="1:3" x14ac:dyDescent="0.25">
      <c r="A2032" s="631" t="s">
        <v>2247</v>
      </c>
      <c r="B2032" s="632" t="s">
        <v>2248</v>
      </c>
      <c r="C2032" s="632">
        <v>4293</v>
      </c>
    </row>
    <row r="2033" spans="1:3" x14ac:dyDescent="0.25">
      <c r="A2033" s="631" t="s">
        <v>2249</v>
      </c>
      <c r="B2033" s="632" t="s">
        <v>2250</v>
      </c>
      <c r="C2033" s="632">
        <v>4293</v>
      </c>
    </row>
    <row r="2034" spans="1:3" x14ac:dyDescent="0.25">
      <c r="A2034" s="631" t="s">
        <v>2251</v>
      </c>
      <c r="B2034" s="632" t="s">
        <v>2252</v>
      </c>
      <c r="C2034" s="632">
        <v>4293</v>
      </c>
    </row>
    <row r="2035" spans="1:3" x14ac:dyDescent="0.25">
      <c r="A2035" s="631">
        <v>5200121</v>
      </c>
      <c r="B2035" s="632" t="s">
        <v>2253</v>
      </c>
      <c r="C2035" s="632">
        <v>58</v>
      </c>
    </row>
    <row r="2036" spans="1:3" x14ac:dyDescent="0.25">
      <c r="A2036" s="631">
        <v>5202417</v>
      </c>
      <c r="B2036" s="632" t="s">
        <v>2254</v>
      </c>
      <c r="C2036" s="632">
        <v>1676</v>
      </c>
    </row>
    <row r="2037" spans="1:3" x14ac:dyDescent="0.25">
      <c r="A2037" s="631">
        <v>5202418</v>
      </c>
      <c r="B2037" s="632" t="s">
        <v>2255</v>
      </c>
      <c r="C2037" s="632">
        <v>1676</v>
      </c>
    </row>
    <row r="2038" spans="1:3" x14ac:dyDescent="0.25">
      <c r="A2038" s="631" t="s">
        <v>2256</v>
      </c>
      <c r="B2038" s="632" t="s">
        <v>2257</v>
      </c>
      <c r="C2038" s="632">
        <v>1596</v>
      </c>
    </row>
    <row r="2039" spans="1:3" x14ac:dyDescent="0.25">
      <c r="A2039" s="631" t="s">
        <v>2258</v>
      </c>
      <c r="B2039" s="632" t="s">
        <v>2259</v>
      </c>
      <c r="C2039" s="632">
        <v>1798</v>
      </c>
    </row>
    <row r="2040" spans="1:3" x14ac:dyDescent="0.25">
      <c r="A2040" s="631" t="s">
        <v>2260</v>
      </c>
      <c r="B2040" s="632" t="s">
        <v>2261</v>
      </c>
      <c r="C2040" s="632">
        <v>1798</v>
      </c>
    </row>
    <row r="2041" spans="1:3" x14ac:dyDescent="0.25">
      <c r="A2041" s="631" t="s">
        <v>4355</v>
      </c>
      <c r="B2041" s="632" t="s">
        <v>4356</v>
      </c>
      <c r="C2041" s="632">
        <v>1798</v>
      </c>
    </row>
    <row r="2042" spans="1:3" x14ac:dyDescent="0.25">
      <c r="A2042" s="631">
        <v>5202717</v>
      </c>
      <c r="B2042" s="632" t="s">
        <v>2262</v>
      </c>
      <c r="C2042" s="632">
        <v>1676</v>
      </c>
    </row>
    <row r="2043" spans="1:3" x14ac:dyDescent="0.25">
      <c r="A2043" s="631">
        <v>5202718</v>
      </c>
      <c r="B2043" s="632" t="s">
        <v>2263</v>
      </c>
      <c r="C2043" s="632">
        <v>1676</v>
      </c>
    </row>
    <row r="2044" spans="1:3" x14ac:dyDescent="0.25">
      <c r="A2044" s="631" t="s">
        <v>2264</v>
      </c>
      <c r="B2044" s="632" t="s">
        <v>2265</v>
      </c>
      <c r="C2044" s="632">
        <v>1798</v>
      </c>
    </row>
    <row r="2045" spans="1:3" x14ac:dyDescent="0.25">
      <c r="A2045" s="631" t="s">
        <v>2266</v>
      </c>
      <c r="B2045" s="632" t="s">
        <v>2267</v>
      </c>
      <c r="C2045" s="632">
        <v>1798</v>
      </c>
    </row>
    <row r="2046" spans="1:3" x14ac:dyDescent="0.25">
      <c r="A2046" s="631" t="s">
        <v>2268</v>
      </c>
      <c r="B2046" s="632" t="s">
        <v>2269</v>
      </c>
      <c r="C2046" s="632">
        <v>1798</v>
      </c>
    </row>
    <row r="2047" spans="1:3" x14ac:dyDescent="0.25">
      <c r="A2047" s="631" t="s">
        <v>2270</v>
      </c>
      <c r="B2047" s="632" t="s">
        <v>2271</v>
      </c>
      <c r="C2047" s="632">
        <v>1798</v>
      </c>
    </row>
    <row r="2048" spans="1:3" x14ac:dyDescent="0.25">
      <c r="A2048" s="631">
        <v>5203017</v>
      </c>
      <c r="B2048" s="632" t="s">
        <v>2272</v>
      </c>
      <c r="C2048" s="632">
        <v>1676</v>
      </c>
    </row>
    <row r="2049" spans="1:3" x14ac:dyDescent="0.25">
      <c r="A2049" s="631">
        <v>5203018</v>
      </c>
      <c r="B2049" s="632" t="s">
        <v>2273</v>
      </c>
      <c r="C2049" s="632">
        <v>1676</v>
      </c>
    </row>
    <row r="2050" spans="1:3" x14ac:dyDescent="0.25">
      <c r="A2050" s="631" t="s">
        <v>2274</v>
      </c>
      <c r="B2050" s="632" t="s">
        <v>2275</v>
      </c>
      <c r="C2050" s="632">
        <v>1596</v>
      </c>
    </row>
    <row r="2051" spans="1:3" x14ac:dyDescent="0.25">
      <c r="A2051" s="631" t="s">
        <v>2276</v>
      </c>
      <c r="B2051" s="632" t="s">
        <v>2277</v>
      </c>
      <c r="C2051" s="632">
        <v>1798</v>
      </c>
    </row>
    <row r="2052" spans="1:3" x14ac:dyDescent="0.25">
      <c r="A2052" s="631" t="s">
        <v>2278</v>
      </c>
      <c r="B2052" s="632" t="s">
        <v>2279</v>
      </c>
      <c r="C2052" s="632">
        <v>1798</v>
      </c>
    </row>
    <row r="2053" spans="1:3" x14ac:dyDescent="0.25">
      <c r="A2053" s="631" t="s">
        <v>2280</v>
      </c>
      <c r="B2053" s="632" t="s">
        <v>2281</v>
      </c>
      <c r="C2053" s="632">
        <v>1798</v>
      </c>
    </row>
    <row r="2054" spans="1:3" x14ac:dyDescent="0.25">
      <c r="A2054" s="631" t="s">
        <v>2282</v>
      </c>
      <c r="B2054" s="632" t="s">
        <v>2283</v>
      </c>
      <c r="C2054" s="632">
        <v>1798</v>
      </c>
    </row>
    <row r="2055" spans="1:3" x14ac:dyDescent="0.25">
      <c r="A2055" s="631" t="s">
        <v>2284</v>
      </c>
      <c r="B2055" s="632" t="s">
        <v>2285</v>
      </c>
      <c r="C2055" s="632">
        <v>1798</v>
      </c>
    </row>
    <row r="2056" spans="1:3" x14ac:dyDescent="0.25">
      <c r="A2056" s="631">
        <v>5203317</v>
      </c>
      <c r="B2056" s="632" t="s">
        <v>2286</v>
      </c>
      <c r="C2056" s="632">
        <v>1676</v>
      </c>
    </row>
    <row r="2057" spans="1:3" x14ac:dyDescent="0.25">
      <c r="A2057" s="631">
        <v>5203318</v>
      </c>
      <c r="B2057" s="632" t="s">
        <v>2287</v>
      </c>
      <c r="C2057" s="632">
        <v>1676</v>
      </c>
    </row>
    <row r="2058" spans="1:3" x14ac:dyDescent="0.25">
      <c r="A2058" s="631" t="s">
        <v>2288</v>
      </c>
      <c r="B2058" s="632" t="s">
        <v>2289</v>
      </c>
      <c r="C2058" s="632">
        <v>1798</v>
      </c>
    </row>
    <row r="2059" spans="1:3" x14ac:dyDescent="0.25">
      <c r="A2059" s="631" t="s">
        <v>2290</v>
      </c>
      <c r="B2059" s="632" t="s">
        <v>2291</v>
      </c>
      <c r="C2059" s="632">
        <v>1798</v>
      </c>
    </row>
    <row r="2060" spans="1:3" x14ac:dyDescent="0.25">
      <c r="A2060" s="631" t="s">
        <v>2292</v>
      </c>
      <c r="B2060" s="632" t="s">
        <v>2293</v>
      </c>
      <c r="C2060" s="632">
        <v>1798</v>
      </c>
    </row>
    <row r="2061" spans="1:3" x14ac:dyDescent="0.25">
      <c r="A2061" s="631" t="s">
        <v>2294</v>
      </c>
      <c r="B2061" s="632" t="s">
        <v>2295</v>
      </c>
      <c r="C2061" s="632">
        <v>1798</v>
      </c>
    </row>
    <row r="2062" spans="1:3" x14ac:dyDescent="0.25">
      <c r="A2062" s="631" t="s">
        <v>2296</v>
      </c>
      <c r="B2062" s="632" t="s">
        <v>2297</v>
      </c>
      <c r="C2062" s="632">
        <v>1798</v>
      </c>
    </row>
    <row r="2063" spans="1:3" x14ac:dyDescent="0.25">
      <c r="A2063" s="631" t="s">
        <v>2298</v>
      </c>
      <c r="B2063" s="632" t="s">
        <v>2299</v>
      </c>
      <c r="C2063" s="632">
        <v>1798</v>
      </c>
    </row>
    <row r="2064" spans="1:3" x14ac:dyDescent="0.25">
      <c r="A2064" s="631" t="s">
        <v>2300</v>
      </c>
      <c r="B2064" s="632" t="s">
        <v>2301</v>
      </c>
      <c r="C2064" s="632">
        <v>1798</v>
      </c>
    </row>
    <row r="2065" spans="1:3" x14ac:dyDescent="0.25">
      <c r="A2065" s="631" t="s">
        <v>2302</v>
      </c>
      <c r="B2065" s="632" t="s">
        <v>2303</v>
      </c>
      <c r="C2065" s="632">
        <v>1798</v>
      </c>
    </row>
    <row r="2066" spans="1:3" x14ac:dyDescent="0.25">
      <c r="A2066" s="631" t="s">
        <v>2304</v>
      </c>
      <c r="B2066" s="632" t="s">
        <v>2305</v>
      </c>
      <c r="C2066" s="632">
        <v>1798</v>
      </c>
    </row>
    <row r="2067" spans="1:3" x14ac:dyDescent="0.25">
      <c r="A2067" s="631" t="s">
        <v>2306</v>
      </c>
      <c r="B2067" s="632" t="s">
        <v>2307</v>
      </c>
      <c r="C2067" s="632">
        <v>1965</v>
      </c>
    </row>
    <row r="2068" spans="1:3" x14ac:dyDescent="0.25">
      <c r="A2068" s="631" t="s">
        <v>2308</v>
      </c>
      <c r="B2068" s="632" t="s">
        <v>2309</v>
      </c>
      <c r="C2068" s="632">
        <v>1798</v>
      </c>
    </row>
    <row r="2069" spans="1:3" x14ac:dyDescent="0.25">
      <c r="A2069" s="631" t="s">
        <v>2310</v>
      </c>
      <c r="B2069" s="632" t="s">
        <v>2311</v>
      </c>
      <c r="C2069" s="632">
        <v>1798</v>
      </c>
    </row>
    <row r="2070" spans="1:3" x14ac:dyDescent="0.25">
      <c r="A2070" s="631" t="s">
        <v>2312</v>
      </c>
      <c r="B2070" s="632" t="s">
        <v>2313</v>
      </c>
      <c r="C2070" s="632">
        <v>1798</v>
      </c>
    </row>
    <row r="2071" spans="1:3" x14ac:dyDescent="0.25">
      <c r="A2071" s="631" t="s">
        <v>2314</v>
      </c>
      <c r="B2071" s="632" t="s">
        <v>2315</v>
      </c>
      <c r="C2071" s="632">
        <v>1798</v>
      </c>
    </row>
    <row r="2072" spans="1:3" x14ac:dyDescent="0.25">
      <c r="A2072" s="631" t="s">
        <v>2316</v>
      </c>
      <c r="B2072" s="632" t="s">
        <v>2317</v>
      </c>
      <c r="C2072" s="632">
        <v>1798</v>
      </c>
    </row>
    <row r="2073" spans="1:3" x14ac:dyDescent="0.25">
      <c r="A2073" s="631" t="s">
        <v>2318</v>
      </c>
      <c r="B2073" s="632" t="s">
        <v>2319</v>
      </c>
      <c r="C2073" s="632">
        <v>1798</v>
      </c>
    </row>
    <row r="2074" spans="1:3" x14ac:dyDescent="0.25">
      <c r="A2074" s="631" t="s">
        <v>2320</v>
      </c>
      <c r="B2074" s="632" t="s">
        <v>2321</v>
      </c>
      <c r="C2074" s="632">
        <v>1798</v>
      </c>
    </row>
    <row r="2075" spans="1:3" x14ac:dyDescent="0.25">
      <c r="A2075" s="631" t="s">
        <v>2322</v>
      </c>
      <c r="B2075" s="632" t="s">
        <v>2323</v>
      </c>
      <c r="C2075" s="632">
        <v>1798</v>
      </c>
    </row>
    <row r="2076" spans="1:3" x14ac:dyDescent="0.25">
      <c r="A2076" s="631" t="s">
        <v>2324</v>
      </c>
      <c r="B2076" s="632" t="s">
        <v>2325</v>
      </c>
      <c r="C2076" s="632">
        <v>1798</v>
      </c>
    </row>
    <row r="2077" spans="1:3" x14ac:dyDescent="0.25">
      <c r="A2077" s="631" t="s">
        <v>2326</v>
      </c>
      <c r="B2077" s="632" t="s">
        <v>2327</v>
      </c>
      <c r="C2077" s="632">
        <v>1798</v>
      </c>
    </row>
    <row r="2078" spans="1:3" x14ac:dyDescent="0.25">
      <c r="A2078" s="631" t="s">
        <v>2328</v>
      </c>
      <c r="B2078" s="632" t="s">
        <v>2329</v>
      </c>
      <c r="C2078" s="632">
        <v>1798</v>
      </c>
    </row>
    <row r="2079" spans="1:3" x14ac:dyDescent="0.25">
      <c r="A2079" s="631" t="s">
        <v>2330</v>
      </c>
      <c r="B2079" s="632" t="s">
        <v>2331</v>
      </c>
      <c r="C2079" s="632">
        <v>1798</v>
      </c>
    </row>
    <row r="2080" spans="1:3" x14ac:dyDescent="0.25">
      <c r="A2080" s="631" t="s">
        <v>2332</v>
      </c>
      <c r="B2080" s="632" t="s">
        <v>2333</v>
      </c>
      <c r="C2080" s="632">
        <v>1798</v>
      </c>
    </row>
    <row r="2081" spans="1:3" x14ac:dyDescent="0.25">
      <c r="A2081" s="631" t="s">
        <v>2334</v>
      </c>
      <c r="B2081" s="632" t="s">
        <v>2335</v>
      </c>
      <c r="C2081" s="632">
        <v>1798</v>
      </c>
    </row>
    <row r="2082" spans="1:3" x14ac:dyDescent="0.25">
      <c r="A2082" s="631" t="s">
        <v>2336</v>
      </c>
      <c r="B2082" s="632" t="s">
        <v>2337</v>
      </c>
      <c r="C2082" s="632">
        <v>1798</v>
      </c>
    </row>
    <row r="2083" spans="1:3" x14ac:dyDescent="0.25">
      <c r="A2083" s="631" t="s">
        <v>2338</v>
      </c>
      <c r="B2083" s="632" t="s">
        <v>2339</v>
      </c>
      <c r="C2083" s="632">
        <v>1798</v>
      </c>
    </row>
    <row r="2084" spans="1:3" x14ac:dyDescent="0.25">
      <c r="A2084" s="631" t="s">
        <v>2340</v>
      </c>
      <c r="B2084" s="632" t="s">
        <v>2341</v>
      </c>
      <c r="C2084" s="632">
        <v>1798</v>
      </c>
    </row>
    <row r="2085" spans="1:3" x14ac:dyDescent="0.25">
      <c r="A2085" s="631" t="s">
        <v>2342</v>
      </c>
      <c r="B2085" s="632" t="s">
        <v>2343</v>
      </c>
      <c r="C2085" s="632">
        <v>1965</v>
      </c>
    </row>
    <row r="2086" spans="1:3" x14ac:dyDescent="0.25">
      <c r="A2086" s="631" t="s">
        <v>2344</v>
      </c>
      <c r="B2086" s="632" t="s">
        <v>2345</v>
      </c>
      <c r="C2086" s="632">
        <v>1798</v>
      </c>
    </row>
    <row r="2087" spans="1:3" x14ac:dyDescent="0.25">
      <c r="A2087" s="631" t="s">
        <v>2346</v>
      </c>
      <c r="B2087" s="632" t="s">
        <v>2347</v>
      </c>
      <c r="C2087" s="632">
        <v>1798</v>
      </c>
    </row>
    <row r="2088" spans="1:3" x14ac:dyDescent="0.25">
      <c r="A2088" s="631" t="s">
        <v>2348</v>
      </c>
      <c r="B2088" s="632" t="s">
        <v>2349</v>
      </c>
      <c r="C2088" s="632">
        <v>1798</v>
      </c>
    </row>
    <row r="2089" spans="1:3" x14ac:dyDescent="0.25">
      <c r="A2089" s="631" t="s">
        <v>2350</v>
      </c>
      <c r="B2089" s="632" t="s">
        <v>2351</v>
      </c>
      <c r="C2089" s="632">
        <v>1798</v>
      </c>
    </row>
    <row r="2090" spans="1:3" x14ac:dyDescent="0.25">
      <c r="A2090" s="631" t="s">
        <v>2352</v>
      </c>
      <c r="B2090" s="632" t="s">
        <v>2353</v>
      </c>
      <c r="C2090" s="632">
        <v>1798</v>
      </c>
    </row>
    <row r="2091" spans="1:3" x14ac:dyDescent="0.25">
      <c r="A2091" s="631" t="s">
        <v>2354</v>
      </c>
      <c r="B2091" s="632" t="s">
        <v>2355</v>
      </c>
      <c r="C2091" s="632">
        <v>1798</v>
      </c>
    </row>
    <row r="2092" spans="1:3" x14ac:dyDescent="0.25">
      <c r="A2092" s="631" t="s">
        <v>2356</v>
      </c>
      <c r="B2092" s="632" t="s">
        <v>2357</v>
      </c>
      <c r="C2092" s="632">
        <v>1798</v>
      </c>
    </row>
    <row r="2093" spans="1:3" x14ac:dyDescent="0.25">
      <c r="A2093" s="631" t="s">
        <v>2358</v>
      </c>
      <c r="B2093" s="632" t="s">
        <v>2359</v>
      </c>
      <c r="C2093" s="632">
        <v>1798</v>
      </c>
    </row>
    <row r="2094" spans="1:3" x14ac:dyDescent="0.25">
      <c r="A2094" s="631" t="s">
        <v>2360</v>
      </c>
      <c r="B2094" s="632" t="s">
        <v>2361</v>
      </c>
      <c r="C2094" s="632">
        <v>1965</v>
      </c>
    </row>
    <row r="2095" spans="1:3" x14ac:dyDescent="0.25">
      <c r="A2095" s="631" t="s">
        <v>2362</v>
      </c>
      <c r="B2095" s="632" t="s">
        <v>2363</v>
      </c>
      <c r="C2095" s="632">
        <v>1798</v>
      </c>
    </row>
    <row r="2096" spans="1:3" x14ac:dyDescent="0.25">
      <c r="A2096" s="631" t="s">
        <v>2364</v>
      </c>
      <c r="B2096" s="632" t="s">
        <v>2365</v>
      </c>
      <c r="C2096" s="632">
        <v>1798</v>
      </c>
    </row>
    <row r="2097" spans="1:3" x14ac:dyDescent="0.25">
      <c r="A2097" s="631" t="s">
        <v>2366</v>
      </c>
      <c r="B2097" s="632" t="s">
        <v>2367</v>
      </c>
      <c r="C2097" s="632">
        <v>1798</v>
      </c>
    </row>
    <row r="2098" spans="1:3" x14ac:dyDescent="0.25">
      <c r="A2098" s="631" t="s">
        <v>2368</v>
      </c>
      <c r="B2098" s="632" t="s">
        <v>2369</v>
      </c>
      <c r="C2098" s="632">
        <v>1798</v>
      </c>
    </row>
    <row r="2099" spans="1:3" x14ac:dyDescent="0.25">
      <c r="A2099" s="631" t="s">
        <v>2370</v>
      </c>
      <c r="B2099" s="632" t="s">
        <v>2371</v>
      </c>
      <c r="C2099" s="632">
        <v>1798</v>
      </c>
    </row>
    <row r="2100" spans="1:3" x14ac:dyDescent="0.25">
      <c r="A2100" s="631" t="s">
        <v>2372</v>
      </c>
      <c r="B2100" s="632" t="s">
        <v>2373</v>
      </c>
      <c r="C2100" s="632">
        <v>1798</v>
      </c>
    </row>
    <row r="2101" spans="1:3" x14ac:dyDescent="0.25">
      <c r="A2101" s="631" t="s">
        <v>2374</v>
      </c>
      <c r="B2101" s="632" t="s">
        <v>2375</v>
      </c>
      <c r="C2101" s="632">
        <v>1798</v>
      </c>
    </row>
    <row r="2102" spans="1:3" x14ac:dyDescent="0.25">
      <c r="A2102" s="631" t="s">
        <v>2376</v>
      </c>
      <c r="B2102" s="632" t="s">
        <v>2377</v>
      </c>
      <c r="C2102" s="632">
        <v>1798</v>
      </c>
    </row>
    <row r="2103" spans="1:3" x14ac:dyDescent="0.25">
      <c r="A2103" s="631" t="s">
        <v>2378</v>
      </c>
      <c r="B2103" s="632" t="s">
        <v>2379</v>
      </c>
      <c r="C2103" s="632">
        <v>1798</v>
      </c>
    </row>
    <row r="2104" spans="1:3" x14ac:dyDescent="0.25">
      <c r="A2104" s="631" t="s">
        <v>2380</v>
      </c>
      <c r="B2104" s="632" t="s">
        <v>2381</v>
      </c>
      <c r="C2104" s="632">
        <v>1798</v>
      </c>
    </row>
    <row r="2105" spans="1:3" x14ac:dyDescent="0.25">
      <c r="A2105" s="631" t="s">
        <v>2382</v>
      </c>
      <c r="B2105" s="632" t="s">
        <v>2383</v>
      </c>
      <c r="C2105" s="632">
        <v>1798</v>
      </c>
    </row>
    <row r="2106" spans="1:3" x14ac:dyDescent="0.25">
      <c r="A2106" s="631" t="s">
        <v>2384</v>
      </c>
      <c r="B2106" s="632" t="s">
        <v>2385</v>
      </c>
      <c r="C2106" s="632">
        <v>1798</v>
      </c>
    </row>
    <row r="2107" spans="1:3" x14ac:dyDescent="0.25">
      <c r="A2107" s="631" t="s">
        <v>2386</v>
      </c>
      <c r="B2107" s="632" t="s">
        <v>2387</v>
      </c>
      <c r="C2107" s="632">
        <v>3629</v>
      </c>
    </row>
    <row r="2108" spans="1:3" x14ac:dyDescent="0.25">
      <c r="A2108" s="631" t="s">
        <v>2389</v>
      </c>
      <c r="B2108" s="632" t="s">
        <v>2388</v>
      </c>
      <c r="C2108" s="632">
        <v>3629</v>
      </c>
    </row>
    <row r="2109" spans="1:3" x14ac:dyDescent="0.25">
      <c r="A2109" s="631" t="s">
        <v>2391</v>
      </c>
      <c r="B2109" s="632" t="s">
        <v>2390</v>
      </c>
      <c r="C2109" s="632">
        <v>3629</v>
      </c>
    </row>
    <row r="2110" spans="1:3" x14ac:dyDescent="0.25">
      <c r="A2110" s="631" t="s">
        <v>2393</v>
      </c>
      <c r="B2110" s="632" t="s">
        <v>2392</v>
      </c>
      <c r="C2110" s="632">
        <v>3629</v>
      </c>
    </row>
    <row r="2111" spans="1:3" x14ac:dyDescent="0.25">
      <c r="A2111" s="631" t="s">
        <v>2395</v>
      </c>
      <c r="B2111" s="632" t="s">
        <v>2394</v>
      </c>
      <c r="C2111" s="632">
        <v>3629</v>
      </c>
    </row>
    <row r="2112" spans="1:3" x14ac:dyDescent="0.25">
      <c r="A2112" s="631" t="s">
        <v>2396</v>
      </c>
      <c r="B2112" s="632" t="s">
        <v>2397</v>
      </c>
      <c r="C2112" s="632">
        <v>1798</v>
      </c>
    </row>
    <row r="2113" spans="1:3" x14ac:dyDescent="0.25">
      <c r="A2113" s="631" t="s">
        <v>2399</v>
      </c>
      <c r="B2113" s="632" t="s">
        <v>2398</v>
      </c>
      <c r="C2113" s="632">
        <v>3629</v>
      </c>
    </row>
    <row r="2114" spans="1:3" x14ac:dyDescent="0.25">
      <c r="A2114" s="631" t="s">
        <v>2400</v>
      </c>
      <c r="B2114" s="632" t="s">
        <v>2401</v>
      </c>
      <c r="C2114" s="632">
        <v>1798</v>
      </c>
    </row>
    <row r="2115" spans="1:3" x14ac:dyDescent="0.25">
      <c r="A2115" s="631" t="s">
        <v>2403</v>
      </c>
      <c r="B2115" s="632" t="s">
        <v>2402</v>
      </c>
      <c r="C2115" s="632">
        <v>3629</v>
      </c>
    </row>
    <row r="2116" spans="1:3" x14ac:dyDescent="0.25">
      <c r="A2116" s="631" t="s">
        <v>2404</v>
      </c>
      <c r="B2116" s="632" t="s">
        <v>2405</v>
      </c>
      <c r="C2116" s="632">
        <v>1798</v>
      </c>
    </row>
    <row r="2117" spans="1:3" x14ac:dyDescent="0.25">
      <c r="A2117" s="631" t="s">
        <v>2407</v>
      </c>
      <c r="B2117" s="632" t="s">
        <v>2406</v>
      </c>
      <c r="C2117" s="632">
        <v>3629</v>
      </c>
    </row>
    <row r="2118" spans="1:3" x14ac:dyDescent="0.25">
      <c r="A2118" s="631" t="s">
        <v>2409</v>
      </c>
      <c r="B2118" s="632" t="s">
        <v>2408</v>
      </c>
      <c r="C2118" s="632">
        <v>3629</v>
      </c>
    </row>
    <row r="2119" spans="1:3" x14ac:dyDescent="0.25">
      <c r="A2119" s="631" t="s">
        <v>2410</v>
      </c>
      <c r="B2119" s="632" t="s">
        <v>2411</v>
      </c>
      <c r="C2119" s="632">
        <v>1798</v>
      </c>
    </row>
    <row r="2120" spans="1:3" x14ac:dyDescent="0.25">
      <c r="A2120" s="631" t="s">
        <v>2413</v>
      </c>
      <c r="B2120" s="632" t="s">
        <v>2412</v>
      </c>
      <c r="C2120" s="632">
        <v>3629</v>
      </c>
    </row>
    <row r="2121" spans="1:3" x14ac:dyDescent="0.25">
      <c r="A2121" s="631" t="s">
        <v>2414</v>
      </c>
      <c r="B2121" s="632" t="s">
        <v>2415</v>
      </c>
      <c r="C2121" s="632">
        <v>1798</v>
      </c>
    </row>
    <row r="2122" spans="1:3" x14ac:dyDescent="0.25">
      <c r="A2122" s="631" t="s">
        <v>2417</v>
      </c>
      <c r="B2122" s="632" t="s">
        <v>2416</v>
      </c>
      <c r="C2122" s="632">
        <v>3629</v>
      </c>
    </row>
    <row r="2123" spans="1:3" x14ac:dyDescent="0.25">
      <c r="A2123" s="631" t="s">
        <v>2418</v>
      </c>
      <c r="B2123" s="632" t="s">
        <v>2419</v>
      </c>
      <c r="C2123" s="632">
        <v>1798</v>
      </c>
    </row>
    <row r="2124" spans="1:3" x14ac:dyDescent="0.25">
      <c r="A2124" s="631" t="s">
        <v>2421</v>
      </c>
      <c r="B2124" s="632" t="s">
        <v>2420</v>
      </c>
      <c r="C2124" s="632">
        <v>3629</v>
      </c>
    </row>
    <row r="2125" spans="1:3" x14ac:dyDescent="0.25">
      <c r="A2125" s="631" t="s">
        <v>2423</v>
      </c>
      <c r="B2125" s="632" t="s">
        <v>2422</v>
      </c>
      <c r="C2125" s="632">
        <v>3629</v>
      </c>
    </row>
    <row r="2126" spans="1:3" x14ac:dyDescent="0.25">
      <c r="A2126" s="631" t="s">
        <v>2424</v>
      </c>
      <c r="B2126" s="632" t="s">
        <v>2425</v>
      </c>
      <c r="C2126" s="632">
        <v>1798</v>
      </c>
    </row>
    <row r="2127" spans="1:3" x14ac:dyDescent="0.25">
      <c r="A2127" s="631" t="s">
        <v>2427</v>
      </c>
      <c r="B2127" s="632" t="s">
        <v>2426</v>
      </c>
      <c r="C2127" s="632">
        <v>3629</v>
      </c>
    </row>
    <row r="2128" spans="1:3" x14ac:dyDescent="0.25">
      <c r="A2128" s="631" t="s">
        <v>2428</v>
      </c>
      <c r="B2128" s="632" t="s">
        <v>2429</v>
      </c>
      <c r="C2128" s="632">
        <v>1798</v>
      </c>
    </row>
    <row r="2129" spans="1:3" x14ac:dyDescent="0.25">
      <c r="A2129" s="631" t="s">
        <v>2431</v>
      </c>
      <c r="B2129" s="632" t="s">
        <v>2430</v>
      </c>
      <c r="C2129" s="632">
        <v>3629</v>
      </c>
    </row>
    <row r="2130" spans="1:3" x14ac:dyDescent="0.25">
      <c r="A2130" s="631" t="s">
        <v>2432</v>
      </c>
      <c r="B2130" s="632" t="s">
        <v>2433</v>
      </c>
      <c r="C2130" s="632">
        <v>1798</v>
      </c>
    </row>
    <row r="2131" spans="1:3" x14ac:dyDescent="0.25">
      <c r="A2131" s="631" t="s">
        <v>2435</v>
      </c>
      <c r="B2131" s="632" t="s">
        <v>2434</v>
      </c>
      <c r="C2131" s="632">
        <v>3629</v>
      </c>
    </row>
    <row r="2132" spans="1:3" x14ac:dyDescent="0.25">
      <c r="A2132" s="631" t="s">
        <v>2437</v>
      </c>
      <c r="B2132" s="632" t="s">
        <v>2436</v>
      </c>
      <c r="C2132" s="632">
        <v>3629</v>
      </c>
    </row>
    <row r="2133" spans="1:3" x14ac:dyDescent="0.25">
      <c r="A2133" s="631" t="s">
        <v>2438</v>
      </c>
      <c r="B2133" s="632" t="s">
        <v>2439</v>
      </c>
      <c r="C2133" s="632">
        <v>1798</v>
      </c>
    </row>
    <row r="2134" spans="1:3" x14ac:dyDescent="0.25">
      <c r="A2134" s="631" t="s">
        <v>2441</v>
      </c>
      <c r="B2134" s="632" t="s">
        <v>2440</v>
      </c>
      <c r="C2134" s="632">
        <v>3629</v>
      </c>
    </row>
    <row r="2135" spans="1:3" x14ac:dyDescent="0.25">
      <c r="A2135" s="631" t="s">
        <v>2442</v>
      </c>
      <c r="B2135" s="632" t="s">
        <v>2443</v>
      </c>
      <c r="C2135" s="632">
        <v>1798</v>
      </c>
    </row>
    <row r="2136" spans="1:3" x14ac:dyDescent="0.25">
      <c r="A2136" s="631" t="s">
        <v>2445</v>
      </c>
      <c r="B2136" s="632" t="s">
        <v>2444</v>
      </c>
      <c r="C2136" s="632">
        <v>3629</v>
      </c>
    </row>
    <row r="2137" spans="1:3" x14ac:dyDescent="0.25">
      <c r="A2137" s="631" t="s">
        <v>2446</v>
      </c>
      <c r="B2137" s="632" t="s">
        <v>2447</v>
      </c>
      <c r="C2137" s="632">
        <v>1798</v>
      </c>
    </row>
    <row r="2138" spans="1:3" x14ac:dyDescent="0.25">
      <c r="A2138" s="631" t="s">
        <v>2449</v>
      </c>
      <c r="B2138" s="632" t="s">
        <v>2448</v>
      </c>
      <c r="C2138" s="632">
        <v>3629</v>
      </c>
    </row>
    <row r="2139" spans="1:3" x14ac:dyDescent="0.25">
      <c r="A2139" s="631" t="s">
        <v>2450</v>
      </c>
      <c r="B2139" s="632" t="s">
        <v>2451</v>
      </c>
      <c r="C2139" s="632">
        <v>1798</v>
      </c>
    </row>
    <row r="2140" spans="1:3" x14ac:dyDescent="0.25">
      <c r="A2140" s="631" t="s">
        <v>2453</v>
      </c>
      <c r="B2140" s="632" t="s">
        <v>2452</v>
      </c>
      <c r="C2140" s="632">
        <v>3629</v>
      </c>
    </row>
    <row r="2141" spans="1:3" x14ac:dyDescent="0.25">
      <c r="A2141" s="631" t="s">
        <v>2454</v>
      </c>
      <c r="B2141" s="632" t="s">
        <v>2443</v>
      </c>
      <c r="C2141" s="632">
        <v>1798</v>
      </c>
    </row>
    <row r="2142" spans="1:3" x14ac:dyDescent="0.25">
      <c r="A2142" s="631" t="s">
        <v>2456</v>
      </c>
      <c r="B2142" s="632" t="s">
        <v>2455</v>
      </c>
      <c r="C2142" s="632">
        <v>3629</v>
      </c>
    </row>
    <row r="2143" spans="1:3" x14ac:dyDescent="0.25">
      <c r="A2143" s="631" t="s">
        <v>2457</v>
      </c>
      <c r="B2143" s="632" t="s">
        <v>2458</v>
      </c>
      <c r="C2143" s="632">
        <v>1798</v>
      </c>
    </row>
    <row r="2144" spans="1:3" x14ac:dyDescent="0.25">
      <c r="A2144" s="631" t="s">
        <v>2460</v>
      </c>
      <c r="B2144" s="632" t="s">
        <v>2459</v>
      </c>
      <c r="C2144" s="632">
        <v>3629</v>
      </c>
    </row>
    <row r="2145" spans="1:3" x14ac:dyDescent="0.25">
      <c r="A2145" s="631" t="s">
        <v>2461</v>
      </c>
      <c r="B2145" s="632" t="s">
        <v>2462</v>
      </c>
      <c r="C2145" s="632">
        <v>3629</v>
      </c>
    </row>
    <row r="2146" spans="1:3" x14ac:dyDescent="0.25">
      <c r="A2146" s="631" t="s">
        <v>2463</v>
      </c>
      <c r="B2146" s="632" t="s">
        <v>2464</v>
      </c>
      <c r="C2146" s="632">
        <v>3629</v>
      </c>
    </row>
    <row r="2147" spans="1:3" x14ac:dyDescent="0.25">
      <c r="A2147" s="631" t="s">
        <v>2465</v>
      </c>
      <c r="B2147" s="632" t="s">
        <v>2466</v>
      </c>
      <c r="C2147" s="632">
        <v>3629</v>
      </c>
    </row>
    <row r="2148" spans="1:3" x14ac:dyDescent="0.25">
      <c r="A2148" s="631" t="s">
        <v>2467</v>
      </c>
      <c r="B2148" s="632" t="s">
        <v>2468</v>
      </c>
      <c r="C2148" s="632">
        <v>3629</v>
      </c>
    </row>
    <row r="2149" spans="1:3" x14ac:dyDescent="0.25">
      <c r="A2149" s="631" t="s">
        <v>2469</v>
      </c>
      <c r="B2149" s="632" t="s">
        <v>2470</v>
      </c>
      <c r="C2149" s="632">
        <v>1798</v>
      </c>
    </row>
    <row r="2150" spans="1:3" x14ac:dyDescent="0.25">
      <c r="A2150" s="631" t="s">
        <v>2471</v>
      </c>
      <c r="B2150" s="632" t="s">
        <v>2472</v>
      </c>
      <c r="C2150" s="632">
        <v>3629</v>
      </c>
    </row>
    <row r="2151" spans="1:3" x14ac:dyDescent="0.25">
      <c r="A2151" s="631" t="s">
        <v>2473</v>
      </c>
      <c r="B2151" s="632" t="s">
        <v>2474</v>
      </c>
      <c r="C2151" s="632">
        <v>1798</v>
      </c>
    </row>
    <row r="2152" spans="1:3" x14ac:dyDescent="0.25">
      <c r="A2152" s="631" t="s">
        <v>2475</v>
      </c>
      <c r="B2152" s="632" t="s">
        <v>2476</v>
      </c>
      <c r="C2152" s="632">
        <v>3629</v>
      </c>
    </row>
    <row r="2153" spans="1:3" x14ac:dyDescent="0.25">
      <c r="A2153" s="631" t="s">
        <v>2477</v>
      </c>
      <c r="B2153" s="632" t="s">
        <v>2478</v>
      </c>
      <c r="C2153" s="632">
        <v>3629</v>
      </c>
    </row>
    <row r="2154" spans="1:3" x14ac:dyDescent="0.25">
      <c r="A2154" s="631" t="s">
        <v>2479</v>
      </c>
      <c r="B2154" s="632" t="s">
        <v>2480</v>
      </c>
      <c r="C2154" s="632">
        <v>1798</v>
      </c>
    </row>
    <row r="2155" spans="1:3" x14ac:dyDescent="0.25">
      <c r="A2155" s="631" t="s">
        <v>2481</v>
      </c>
      <c r="B2155" s="632" t="s">
        <v>2482</v>
      </c>
      <c r="C2155" s="632">
        <v>3629</v>
      </c>
    </row>
    <row r="2156" spans="1:3" x14ac:dyDescent="0.25">
      <c r="A2156" s="631" t="s">
        <v>2483</v>
      </c>
      <c r="B2156" s="632" t="s">
        <v>2484</v>
      </c>
      <c r="C2156" s="632">
        <v>1798</v>
      </c>
    </row>
    <row r="2157" spans="1:3" x14ac:dyDescent="0.25">
      <c r="A2157" s="631" t="s">
        <v>2485</v>
      </c>
      <c r="B2157" s="632" t="s">
        <v>2486</v>
      </c>
      <c r="C2157" s="632">
        <v>3629</v>
      </c>
    </row>
    <row r="2158" spans="1:3" x14ac:dyDescent="0.25">
      <c r="A2158" s="631" t="s">
        <v>2487</v>
      </c>
      <c r="B2158" s="632" t="s">
        <v>2488</v>
      </c>
      <c r="C2158" s="632">
        <v>3629</v>
      </c>
    </row>
    <row r="2159" spans="1:3" x14ac:dyDescent="0.25">
      <c r="A2159" s="631" t="s">
        <v>2489</v>
      </c>
      <c r="B2159" s="632" t="s">
        <v>2490</v>
      </c>
      <c r="C2159" s="632">
        <v>1798</v>
      </c>
    </row>
    <row r="2160" spans="1:3" x14ac:dyDescent="0.25">
      <c r="A2160" s="631" t="s">
        <v>2491</v>
      </c>
      <c r="B2160" s="632" t="s">
        <v>2492</v>
      </c>
      <c r="C2160" s="632">
        <v>3629</v>
      </c>
    </row>
    <row r="2161" spans="1:3" x14ac:dyDescent="0.25">
      <c r="A2161" s="631" t="s">
        <v>2493</v>
      </c>
      <c r="B2161" s="632" t="s">
        <v>2494</v>
      </c>
      <c r="C2161" s="632">
        <v>1798</v>
      </c>
    </row>
    <row r="2162" spans="1:3" x14ac:dyDescent="0.25">
      <c r="A2162" s="631" t="s">
        <v>2495</v>
      </c>
      <c r="B2162" s="632" t="s">
        <v>2496</v>
      </c>
      <c r="C2162" s="632">
        <v>3629</v>
      </c>
    </row>
    <row r="2163" spans="1:3" x14ac:dyDescent="0.25">
      <c r="A2163" s="631" t="s">
        <v>2497</v>
      </c>
      <c r="B2163" s="632" t="s">
        <v>2498</v>
      </c>
      <c r="C2163" s="632">
        <v>3629</v>
      </c>
    </row>
    <row r="2164" spans="1:3" x14ac:dyDescent="0.25">
      <c r="A2164" s="631" t="s">
        <v>2499</v>
      </c>
      <c r="B2164" s="632" t="s">
        <v>2500</v>
      </c>
      <c r="C2164" s="632">
        <v>1798</v>
      </c>
    </row>
    <row r="2165" spans="1:3" x14ac:dyDescent="0.25">
      <c r="A2165" s="631" t="s">
        <v>2501</v>
      </c>
      <c r="B2165" s="632" t="s">
        <v>2502</v>
      </c>
      <c r="C2165" s="632">
        <v>3629</v>
      </c>
    </row>
    <row r="2166" spans="1:3" x14ac:dyDescent="0.25">
      <c r="A2166" s="631" t="s">
        <v>2503</v>
      </c>
      <c r="B2166" s="632" t="s">
        <v>2504</v>
      </c>
      <c r="C2166" s="632">
        <v>1798</v>
      </c>
    </row>
    <row r="2167" spans="1:3" x14ac:dyDescent="0.25">
      <c r="A2167" s="631" t="s">
        <v>2505</v>
      </c>
      <c r="B2167" s="632" t="s">
        <v>2506</v>
      </c>
      <c r="C2167" s="632">
        <v>3629</v>
      </c>
    </row>
    <row r="2168" spans="1:3" x14ac:dyDescent="0.25">
      <c r="A2168" s="631" t="s">
        <v>2507</v>
      </c>
      <c r="B2168" s="632" t="s">
        <v>2508</v>
      </c>
      <c r="C2168" s="632">
        <v>3629</v>
      </c>
    </row>
    <row r="2169" spans="1:3" x14ac:dyDescent="0.25">
      <c r="A2169" s="631" t="s">
        <v>2509</v>
      </c>
      <c r="B2169" s="632" t="s">
        <v>2510</v>
      </c>
      <c r="C2169" s="632">
        <v>1798</v>
      </c>
    </row>
    <row r="2170" spans="1:3" x14ac:dyDescent="0.25">
      <c r="A2170" s="631" t="s">
        <v>2511</v>
      </c>
      <c r="B2170" s="632" t="s">
        <v>2512</v>
      </c>
      <c r="C2170" s="632">
        <v>3629</v>
      </c>
    </row>
    <row r="2171" spans="1:3" x14ac:dyDescent="0.25">
      <c r="A2171" s="631" t="s">
        <v>2513</v>
      </c>
      <c r="B2171" s="632" t="s">
        <v>2514</v>
      </c>
      <c r="C2171" s="632">
        <v>1798</v>
      </c>
    </row>
    <row r="2172" spans="1:3" x14ac:dyDescent="0.25">
      <c r="A2172" s="631" t="s">
        <v>2515</v>
      </c>
      <c r="B2172" s="632" t="s">
        <v>2516</v>
      </c>
      <c r="C2172" s="632">
        <v>3629</v>
      </c>
    </row>
    <row r="2173" spans="1:3" x14ac:dyDescent="0.25">
      <c r="A2173" s="631" t="s">
        <v>2517</v>
      </c>
      <c r="B2173" s="632" t="s">
        <v>2518</v>
      </c>
      <c r="C2173" s="632">
        <v>3629</v>
      </c>
    </row>
    <row r="2174" spans="1:3" x14ac:dyDescent="0.25">
      <c r="A2174" s="631" t="s">
        <v>2520</v>
      </c>
      <c r="B2174" s="632" t="s">
        <v>2519</v>
      </c>
      <c r="C2174" s="632">
        <v>3629</v>
      </c>
    </row>
    <row r="2175" spans="1:3" x14ac:dyDescent="0.25">
      <c r="A2175" s="631" t="s">
        <v>2522</v>
      </c>
      <c r="B2175" s="632" t="s">
        <v>2521</v>
      </c>
      <c r="C2175" s="632">
        <v>3629</v>
      </c>
    </row>
    <row r="2176" spans="1:3" x14ac:dyDescent="0.25">
      <c r="A2176" s="631">
        <v>5232417</v>
      </c>
      <c r="B2176" s="632" t="s">
        <v>2523</v>
      </c>
      <c r="C2176" s="632">
        <v>2117</v>
      </c>
    </row>
    <row r="2177" spans="1:3" x14ac:dyDescent="0.25">
      <c r="A2177" s="631" t="s">
        <v>2524</v>
      </c>
      <c r="B2177" s="632" t="s">
        <v>2525</v>
      </c>
      <c r="C2177" s="632">
        <v>2117</v>
      </c>
    </row>
    <row r="2178" spans="1:3" x14ac:dyDescent="0.25">
      <c r="A2178" s="631">
        <v>5232418</v>
      </c>
      <c r="B2178" s="632" t="s">
        <v>2526</v>
      </c>
      <c r="C2178" s="632">
        <v>2117</v>
      </c>
    </row>
    <row r="2179" spans="1:3" x14ac:dyDescent="0.25">
      <c r="A2179" s="631" t="s">
        <v>2527</v>
      </c>
      <c r="B2179" s="632" t="s">
        <v>2528</v>
      </c>
      <c r="C2179" s="632">
        <v>2117</v>
      </c>
    </row>
    <row r="2180" spans="1:3" x14ac:dyDescent="0.25">
      <c r="A2180" s="631">
        <v>5232717</v>
      </c>
      <c r="B2180" s="632" t="s">
        <v>2529</v>
      </c>
      <c r="C2180" s="632">
        <v>2117</v>
      </c>
    </row>
    <row r="2181" spans="1:3" x14ac:dyDescent="0.25">
      <c r="A2181" s="631" t="s">
        <v>2530</v>
      </c>
      <c r="B2181" s="632" t="s">
        <v>2531</v>
      </c>
      <c r="C2181" s="632">
        <v>2117</v>
      </c>
    </row>
    <row r="2182" spans="1:3" x14ac:dyDescent="0.25">
      <c r="A2182" s="631">
        <v>5232718</v>
      </c>
      <c r="B2182" s="632" t="s">
        <v>2532</v>
      </c>
      <c r="C2182" s="632">
        <v>2117</v>
      </c>
    </row>
    <row r="2183" spans="1:3" x14ac:dyDescent="0.25">
      <c r="A2183" s="631" t="s">
        <v>2533</v>
      </c>
      <c r="B2183" s="632" t="s">
        <v>2534</v>
      </c>
      <c r="C2183" s="632">
        <v>2117</v>
      </c>
    </row>
    <row r="2184" spans="1:3" x14ac:dyDescent="0.25">
      <c r="A2184" s="631" t="s">
        <v>2535</v>
      </c>
      <c r="B2184" s="632" t="s">
        <v>2536</v>
      </c>
      <c r="C2184" s="632">
        <v>2270</v>
      </c>
    </row>
    <row r="2185" spans="1:3" x14ac:dyDescent="0.25">
      <c r="A2185" s="631" t="s">
        <v>2538</v>
      </c>
      <c r="B2185" s="632" t="s">
        <v>2537</v>
      </c>
      <c r="C2185" s="632">
        <v>2270</v>
      </c>
    </row>
    <row r="2186" spans="1:3" x14ac:dyDescent="0.25">
      <c r="A2186" s="631" t="s">
        <v>2540</v>
      </c>
      <c r="B2186" s="632" t="s">
        <v>2539</v>
      </c>
      <c r="C2186" s="632">
        <v>2270</v>
      </c>
    </row>
    <row r="2187" spans="1:3" x14ac:dyDescent="0.25">
      <c r="A2187" s="631" t="s">
        <v>2542</v>
      </c>
      <c r="B2187" s="632" t="s">
        <v>2541</v>
      </c>
      <c r="C2187" s="632">
        <v>2270</v>
      </c>
    </row>
    <row r="2188" spans="1:3" x14ac:dyDescent="0.25">
      <c r="A2188" s="631">
        <v>5233017</v>
      </c>
      <c r="B2188" s="632" t="s">
        <v>2543</v>
      </c>
      <c r="C2188" s="632">
        <v>2117</v>
      </c>
    </row>
    <row r="2189" spans="1:3" x14ac:dyDescent="0.25">
      <c r="A2189" s="631" t="s">
        <v>2544</v>
      </c>
      <c r="B2189" s="632" t="s">
        <v>2545</v>
      </c>
      <c r="C2189" s="632">
        <v>2117</v>
      </c>
    </row>
    <row r="2190" spans="1:3" x14ac:dyDescent="0.25">
      <c r="A2190" s="631">
        <v>5233018</v>
      </c>
      <c r="B2190" s="632" t="s">
        <v>2546</v>
      </c>
      <c r="C2190" s="632">
        <v>2117</v>
      </c>
    </row>
    <row r="2191" spans="1:3" x14ac:dyDescent="0.25">
      <c r="A2191" s="631" t="s">
        <v>2547</v>
      </c>
      <c r="B2191" s="632" t="s">
        <v>2548</v>
      </c>
      <c r="C2191" s="632">
        <v>2117</v>
      </c>
    </row>
    <row r="2192" spans="1:3" x14ac:dyDescent="0.25">
      <c r="A2192" s="631" t="s">
        <v>2550</v>
      </c>
      <c r="B2192" s="632" t="s">
        <v>2549</v>
      </c>
      <c r="C2192" s="632">
        <v>2270</v>
      </c>
    </row>
    <row r="2193" spans="1:3" x14ac:dyDescent="0.25">
      <c r="A2193" s="631" t="s">
        <v>2552</v>
      </c>
      <c r="B2193" s="632" t="s">
        <v>2551</v>
      </c>
      <c r="C2193" s="632">
        <v>2270</v>
      </c>
    </row>
    <row r="2194" spans="1:3" x14ac:dyDescent="0.25">
      <c r="A2194" s="631" t="s">
        <v>2554</v>
      </c>
      <c r="B2194" s="632" t="s">
        <v>2553</v>
      </c>
      <c r="C2194" s="632">
        <v>2270</v>
      </c>
    </row>
    <row r="2195" spans="1:3" x14ac:dyDescent="0.25">
      <c r="A2195" s="631" t="s">
        <v>2556</v>
      </c>
      <c r="B2195" s="632" t="s">
        <v>2555</v>
      </c>
      <c r="C2195" s="632">
        <v>2270</v>
      </c>
    </row>
    <row r="2196" spans="1:3" x14ac:dyDescent="0.25">
      <c r="A2196" s="631" t="s">
        <v>2558</v>
      </c>
      <c r="B2196" s="632" t="s">
        <v>2557</v>
      </c>
      <c r="C2196" s="632">
        <v>2270</v>
      </c>
    </row>
    <row r="2197" spans="1:3" x14ac:dyDescent="0.25">
      <c r="A2197" s="631" t="s">
        <v>2560</v>
      </c>
      <c r="B2197" s="632" t="s">
        <v>2559</v>
      </c>
      <c r="C2197" s="632">
        <v>2270</v>
      </c>
    </row>
    <row r="2198" spans="1:3" x14ac:dyDescent="0.25">
      <c r="A2198" s="631">
        <v>5233317</v>
      </c>
      <c r="B2198" s="632" t="s">
        <v>2561</v>
      </c>
      <c r="C2198" s="632">
        <v>2117</v>
      </c>
    </row>
    <row r="2199" spans="1:3" x14ac:dyDescent="0.25">
      <c r="A2199" s="631" t="s">
        <v>2562</v>
      </c>
      <c r="B2199" s="632" t="s">
        <v>2563</v>
      </c>
      <c r="C2199" s="632">
        <v>2117</v>
      </c>
    </row>
    <row r="2200" spans="1:3" x14ac:dyDescent="0.25">
      <c r="A2200" s="631">
        <v>5233318</v>
      </c>
      <c r="B2200" s="632" t="s">
        <v>2564</v>
      </c>
      <c r="C2200" s="632">
        <v>2117</v>
      </c>
    </row>
    <row r="2201" spans="1:3" x14ac:dyDescent="0.25">
      <c r="A2201" s="631" t="s">
        <v>2565</v>
      </c>
      <c r="B2201" s="632" t="s">
        <v>2566</v>
      </c>
      <c r="C2201" s="632">
        <v>2117</v>
      </c>
    </row>
    <row r="2202" spans="1:3" x14ac:dyDescent="0.25">
      <c r="A2202" s="631" t="s">
        <v>2568</v>
      </c>
      <c r="B2202" s="632" t="s">
        <v>2567</v>
      </c>
      <c r="C2202" s="632">
        <v>2270</v>
      </c>
    </row>
    <row r="2203" spans="1:3" x14ac:dyDescent="0.25">
      <c r="A2203" s="631" t="s">
        <v>2570</v>
      </c>
      <c r="B2203" s="632" t="s">
        <v>2569</v>
      </c>
      <c r="C2203" s="632">
        <v>2270</v>
      </c>
    </row>
    <row r="2204" spans="1:3" x14ac:dyDescent="0.25">
      <c r="A2204" s="631" t="s">
        <v>2571</v>
      </c>
      <c r="B2204" s="632" t="s">
        <v>2572</v>
      </c>
      <c r="C2204" s="632">
        <v>2270</v>
      </c>
    </row>
    <row r="2205" spans="1:3" x14ac:dyDescent="0.25">
      <c r="A2205" s="631" t="s">
        <v>2574</v>
      </c>
      <c r="B2205" s="632" t="s">
        <v>2573</v>
      </c>
      <c r="C2205" s="632">
        <v>2270</v>
      </c>
    </row>
    <row r="2206" spans="1:3" x14ac:dyDescent="0.25">
      <c r="A2206" s="631" t="s">
        <v>2575</v>
      </c>
      <c r="B2206" s="632" t="s">
        <v>2576</v>
      </c>
      <c r="C2206" s="632">
        <v>2270</v>
      </c>
    </row>
    <row r="2207" spans="1:3" x14ac:dyDescent="0.25">
      <c r="A2207" s="631" t="s">
        <v>2578</v>
      </c>
      <c r="B2207" s="632" t="s">
        <v>2577</v>
      </c>
      <c r="C2207" s="632">
        <v>2270</v>
      </c>
    </row>
    <row r="2208" spans="1:3" x14ac:dyDescent="0.25">
      <c r="A2208" s="631" t="s">
        <v>2579</v>
      </c>
      <c r="B2208" s="632" t="s">
        <v>2580</v>
      </c>
      <c r="C2208" s="632">
        <v>2270</v>
      </c>
    </row>
    <row r="2209" spans="1:3" x14ac:dyDescent="0.25">
      <c r="A2209" s="631" t="s">
        <v>2582</v>
      </c>
      <c r="B2209" s="632" t="s">
        <v>2581</v>
      </c>
      <c r="C2209" s="632">
        <v>2270</v>
      </c>
    </row>
    <row r="2210" spans="1:3" x14ac:dyDescent="0.25">
      <c r="A2210" s="631" t="s">
        <v>2584</v>
      </c>
      <c r="B2210" s="632" t="s">
        <v>2583</v>
      </c>
      <c r="C2210" s="632">
        <v>2270</v>
      </c>
    </row>
    <row r="2211" spans="1:3" x14ac:dyDescent="0.25">
      <c r="A2211" s="631" t="s">
        <v>2586</v>
      </c>
      <c r="B2211" s="632" t="s">
        <v>2585</v>
      </c>
      <c r="C2211" s="632">
        <v>2270</v>
      </c>
    </row>
    <row r="2212" spans="1:3" x14ac:dyDescent="0.25">
      <c r="A2212" s="631" t="s">
        <v>2588</v>
      </c>
      <c r="B2212" s="632" t="s">
        <v>2587</v>
      </c>
      <c r="C2212" s="632">
        <v>2270</v>
      </c>
    </row>
    <row r="2213" spans="1:3" x14ac:dyDescent="0.25">
      <c r="A2213" s="631" t="s">
        <v>2589</v>
      </c>
      <c r="B2213" s="632" t="s">
        <v>2590</v>
      </c>
      <c r="C2213" s="632">
        <v>2270</v>
      </c>
    </row>
    <row r="2214" spans="1:3" x14ac:dyDescent="0.25">
      <c r="A2214" s="631" t="s">
        <v>2592</v>
      </c>
      <c r="B2214" s="632" t="s">
        <v>2591</v>
      </c>
      <c r="C2214" s="632">
        <v>2270</v>
      </c>
    </row>
    <row r="2215" spans="1:3" x14ac:dyDescent="0.25">
      <c r="A2215" s="631" t="s">
        <v>2593</v>
      </c>
      <c r="B2215" s="632" t="s">
        <v>2594</v>
      </c>
      <c r="C2215" s="632">
        <v>2270</v>
      </c>
    </row>
    <row r="2216" spans="1:3" x14ac:dyDescent="0.25">
      <c r="A2216" s="631" t="s">
        <v>2596</v>
      </c>
      <c r="B2216" s="632" t="s">
        <v>2595</v>
      </c>
      <c r="C2216" s="632">
        <v>2270</v>
      </c>
    </row>
    <row r="2217" spans="1:3" x14ac:dyDescent="0.25">
      <c r="A2217" s="631" t="s">
        <v>2597</v>
      </c>
      <c r="B2217" s="632" t="s">
        <v>2598</v>
      </c>
      <c r="C2217" s="632">
        <v>2270</v>
      </c>
    </row>
    <row r="2218" spans="1:3" x14ac:dyDescent="0.25">
      <c r="A2218" s="631" t="s">
        <v>2600</v>
      </c>
      <c r="B2218" s="632" t="s">
        <v>2599</v>
      </c>
      <c r="C2218" s="632">
        <v>2270</v>
      </c>
    </row>
    <row r="2219" spans="1:3" x14ac:dyDescent="0.25">
      <c r="A2219" s="631" t="s">
        <v>2602</v>
      </c>
      <c r="B2219" s="632" t="s">
        <v>2601</v>
      </c>
      <c r="C2219" s="632">
        <v>2270</v>
      </c>
    </row>
    <row r="2220" spans="1:3" x14ac:dyDescent="0.25">
      <c r="A2220" s="631" t="s">
        <v>2604</v>
      </c>
      <c r="B2220" s="632" t="s">
        <v>2603</v>
      </c>
      <c r="C2220" s="632">
        <v>2270</v>
      </c>
    </row>
    <row r="2221" spans="1:3" x14ac:dyDescent="0.25">
      <c r="A2221" s="631" t="s">
        <v>2605</v>
      </c>
      <c r="B2221" s="632" t="s">
        <v>2606</v>
      </c>
      <c r="C2221" s="632">
        <v>2270</v>
      </c>
    </row>
    <row r="2222" spans="1:3" x14ac:dyDescent="0.25">
      <c r="A2222" s="631" t="s">
        <v>2607</v>
      </c>
      <c r="B2222" s="632" t="s">
        <v>2608</v>
      </c>
      <c r="C2222" s="632">
        <v>2270</v>
      </c>
    </row>
    <row r="2223" spans="1:3" x14ac:dyDescent="0.25">
      <c r="A2223" s="631" t="s">
        <v>2610</v>
      </c>
      <c r="B2223" s="632" t="s">
        <v>2609</v>
      </c>
      <c r="C2223" s="632">
        <v>2270</v>
      </c>
    </row>
    <row r="2224" spans="1:3" x14ac:dyDescent="0.25">
      <c r="A2224" s="631" t="s">
        <v>2611</v>
      </c>
      <c r="B2224" s="632" t="s">
        <v>2612</v>
      </c>
      <c r="C2224" s="632">
        <v>2270</v>
      </c>
    </row>
    <row r="2225" spans="1:3" x14ac:dyDescent="0.25">
      <c r="A2225" s="631" t="s">
        <v>2614</v>
      </c>
      <c r="B2225" s="632" t="s">
        <v>2613</v>
      </c>
      <c r="C2225" s="632">
        <v>2270</v>
      </c>
    </row>
    <row r="2226" spans="1:3" x14ac:dyDescent="0.25">
      <c r="A2226" s="631" t="s">
        <v>2615</v>
      </c>
      <c r="B2226" s="632" t="s">
        <v>2616</v>
      </c>
      <c r="C2226" s="632">
        <v>2270</v>
      </c>
    </row>
    <row r="2227" spans="1:3" x14ac:dyDescent="0.25">
      <c r="A2227" s="631" t="s">
        <v>2618</v>
      </c>
      <c r="B2227" s="632" t="s">
        <v>2617</v>
      </c>
      <c r="C2227" s="632">
        <v>2270</v>
      </c>
    </row>
    <row r="2228" spans="1:3" x14ac:dyDescent="0.25">
      <c r="A2228" s="631" t="s">
        <v>2620</v>
      </c>
      <c r="B2228" s="632" t="s">
        <v>2619</v>
      </c>
      <c r="C2228" s="632">
        <v>2270</v>
      </c>
    </row>
    <row r="2229" spans="1:3" x14ac:dyDescent="0.25">
      <c r="A2229" s="631" t="s">
        <v>2622</v>
      </c>
      <c r="B2229" s="632" t="s">
        <v>2621</v>
      </c>
      <c r="C2229" s="632">
        <v>2270</v>
      </c>
    </row>
    <row r="2230" spans="1:3" x14ac:dyDescent="0.25">
      <c r="A2230" s="631" t="s">
        <v>2623</v>
      </c>
      <c r="B2230" s="632" t="s">
        <v>2624</v>
      </c>
      <c r="C2230" s="632">
        <v>2270</v>
      </c>
    </row>
    <row r="2231" spans="1:3" x14ac:dyDescent="0.25">
      <c r="A2231" s="631" t="s">
        <v>2625</v>
      </c>
      <c r="B2231" s="632" t="s">
        <v>2626</v>
      </c>
      <c r="C2231" s="632">
        <v>2270</v>
      </c>
    </row>
    <row r="2232" spans="1:3" x14ac:dyDescent="0.25">
      <c r="A2232" s="631" t="s">
        <v>2627</v>
      </c>
      <c r="B2232" s="632" t="s">
        <v>2628</v>
      </c>
      <c r="C2232" s="632">
        <v>2270</v>
      </c>
    </row>
    <row r="2233" spans="1:3" x14ac:dyDescent="0.25">
      <c r="A2233" s="631" t="s">
        <v>2629</v>
      </c>
      <c r="B2233" s="632" t="s">
        <v>2630</v>
      </c>
      <c r="C2233" s="632">
        <v>2270</v>
      </c>
    </row>
    <row r="2234" spans="1:3" x14ac:dyDescent="0.25">
      <c r="A2234" s="631" t="s">
        <v>2631</v>
      </c>
      <c r="B2234" s="632" t="s">
        <v>2632</v>
      </c>
      <c r="C2234" s="632">
        <v>2270</v>
      </c>
    </row>
    <row r="2235" spans="1:3" x14ac:dyDescent="0.25">
      <c r="A2235" s="631" t="s">
        <v>2633</v>
      </c>
      <c r="B2235" s="632" t="s">
        <v>2634</v>
      </c>
      <c r="C2235" s="632">
        <v>2270</v>
      </c>
    </row>
    <row r="2236" spans="1:3" x14ac:dyDescent="0.25">
      <c r="A2236" s="631" t="s">
        <v>2635</v>
      </c>
      <c r="B2236" s="632" t="s">
        <v>2636</v>
      </c>
      <c r="C2236" s="632">
        <v>2270</v>
      </c>
    </row>
    <row r="2237" spans="1:3" x14ac:dyDescent="0.25">
      <c r="A2237" s="631" t="s">
        <v>2637</v>
      </c>
      <c r="B2237" s="632" t="s">
        <v>2638</v>
      </c>
      <c r="C2237" s="632">
        <v>2270</v>
      </c>
    </row>
    <row r="2238" spans="1:3" x14ac:dyDescent="0.25">
      <c r="A2238" s="631" t="s">
        <v>2640</v>
      </c>
      <c r="B2238" s="632" t="s">
        <v>2639</v>
      </c>
      <c r="C2238" s="632">
        <v>2270</v>
      </c>
    </row>
    <row r="2239" spans="1:3" x14ac:dyDescent="0.25">
      <c r="A2239" s="631" t="s">
        <v>2642</v>
      </c>
      <c r="B2239" s="632" t="s">
        <v>2641</v>
      </c>
      <c r="C2239" s="632">
        <v>2270</v>
      </c>
    </row>
    <row r="2240" spans="1:3" x14ac:dyDescent="0.25">
      <c r="A2240" s="631" t="s">
        <v>2643</v>
      </c>
      <c r="B2240" s="632" t="s">
        <v>2644</v>
      </c>
      <c r="C2240" s="632">
        <v>2270</v>
      </c>
    </row>
    <row r="2241" spans="1:3" x14ac:dyDescent="0.25">
      <c r="A2241" s="631" t="s">
        <v>2646</v>
      </c>
      <c r="B2241" s="632" t="s">
        <v>2645</v>
      </c>
      <c r="C2241" s="632">
        <v>2270</v>
      </c>
    </row>
    <row r="2242" spans="1:3" x14ac:dyDescent="0.25">
      <c r="A2242" s="631" t="s">
        <v>2647</v>
      </c>
      <c r="B2242" s="632" t="s">
        <v>2648</v>
      </c>
      <c r="C2242" s="632">
        <v>2270</v>
      </c>
    </row>
    <row r="2243" spans="1:3" x14ac:dyDescent="0.25">
      <c r="A2243" s="631" t="s">
        <v>2650</v>
      </c>
      <c r="B2243" s="632" t="s">
        <v>2649</v>
      </c>
      <c r="C2243" s="632">
        <v>2270</v>
      </c>
    </row>
    <row r="2244" spans="1:3" x14ac:dyDescent="0.25">
      <c r="A2244" s="631" t="s">
        <v>2651</v>
      </c>
      <c r="B2244" s="632" t="s">
        <v>2652</v>
      </c>
      <c r="C2244" s="632">
        <v>2270</v>
      </c>
    </row>
    <row r="2245" spans="1:3" x14ac:dyDescent="0.25">
      <c r="A2245" s="631" t="s">
        <v>2654</v>
      </c>
      <c r="B2245" s="632" t="s">
        <v>2653</v>
      </c>
      <c r="C2245" s="632">
        <v>2270</v>
      </c>
    </row>
    <row r="2246" spans="1:3" x14ac:dyDescent="0.25">
      <c r="A2246" s="631" t="s">
        <v>2656</v>
      </c>
      <c r="B2246" s="632" t="s">
        <v>2655</v>
      </c>
      <c r="C2246" s="632">
        <v>2270</v>
      </c>
    </row>
    <row r="2247" spans="1:3" x14ac:dyDescent="0.25">
      <c r="A2247" s="631" t="s">
        <v>2658</v>
      </c>
      <c r="B2247" s="632" t="s">
        <v>2657</v>
      </c>
      <c r="C2247" s="632">
        <v>2270</v>
      </c>
    </row>
    <row r="2248" spans="1:3" x14ac:dyDescent="0.25">
      <c r="A2248" s="631" t="s">
        <v>2660</v>
      </c>
      <c r="B2248" s="632" t="s">
        <v>2659</v>
      </c>
      <c r="C2248" s="632">
        <v>2270</v>
      </c>
    </row>
    <row r="2249" spans="1:3" x14ac:dyDescent="0.25">
      <c r="A2249" s="631" t="s">
        <v>2662</v>
      </c>
      <c r="B2249" s="632" t="s">
        <v>2661</v>
      </c>
      <c r="C2249" s="632">
        <v>2270</v>
      </c>
    </row>
    <row r="2250" spans="1:3" x14ac:dyDescent="0.25">
      <c r="A2250" s="631" t="s">
        <v>2664</v>
      </c>
      <c r="B2250" s="632" t="s">
        <v>2663</v>
      </c>
      <c r="C2250" s="632">
        <v>2270</v>
      </c>
    </row>
    <row r="2251" spans="1:3" x14ac:dyDescent="0.25">
      <c r="A2251" s="631" t="s">
        <v>2666</v>
      </c>
      <c r="B2251" s="632" t="s">
        <v>2665</v>
      </c>
      <c r="C2251" s="632">
        <v>4464</v>
      </c>
    </row>
    <row r="2252" spans="1:3" x14ac:dyDescent="0.25">
      <c r="A2252" s="631" t="s">
        <v>2668</v>
      </c>
      <c r="B2252" s="632" t="s">
        <v>2667</v>
      </c>
      <c r="C2252" s="632">
        <v>4464</v>
      </c>
    </row>
    <row r="2253" spans="1:3" x14ac:dyDescent="0.25">
      <c r="A2253" s="631" t="s">
        <v>2670</v>
      </c>
      <c r="B2253" s="632" t="s">
        <v>2669</v>
      </c>
      <c r="C2253" s="632">
        <v>4464</v>
      </c>
    </row>
    <row r="2254" spans="1:3" x14ac:dyDescent="0.25">
      <c r="A2254" s="631" t="s">
        <v>2672</v>
      </c>
      <c r="B2254" s="632" t="s">
        <v>2671</v>
      </c>
      <c r="C2254" s="632">
        <v>4464</v>
      </c>
    </row>
    <row r="2255" spans="1:3" x14ac:dyDescent="0.25">
      <c r="A2255" s="631" t="s">
        <v>2674</v>
      </c>
      <c r="B2255" s="632" t="s">
        <v>2673</v>
      </c>
      <c r="C2255" s="632">
        <v>4464</v>
      </c>
    </row>
    <row r="2256" spans="1:3" x14ac:dyDescent="0.25">
      <c r="A2256" s="631" t="s">
        <v>2675</v>
      </c>
      <c r="B2256" s="632" t="s">
        <v>2676</v>
      </c>
      <c r="C2256" s="632">
        <v>4918</v>
      </c>
    </row>
    <row r="2257" spans="1:3" x14ac:dyDescent="0.25">
      <c r="A2257" s="631" t="s">
        <v>2678</v>
      </c>
      <c r="B2257" s="632" t="s">
        <v>2677</v>
      </c>
      <c r="C2257" s="632">
        <v>4464</v>
      </c>
    </row>
    <row r="2258" spans="1:3" x14ac:dyDescent="0.25">
      <c r="A2258" s="631" t="s">
        <v>2679</v>
      </c>
      <c r="B2258" s="632" t="s">
        <v>2680</v>
      </c>
      <c r="C2258" s="632">
        <v>4918</v>
      </c>
    </row>
    <row r="2259" spans="1:3" x14ac:dyDescent="0.25">
      <c r="A2259" s="631" t="s">
        <v>2682</v>
      </c>
      <c r="B2259" s="632" t="s">
        <v>2681</v>
      </c>
      <c r="C2259" s="632">
        <v>4464</v>
      </c>
    </row>
    <row r="2260" spans="1:3" x14ac:dyDescent="0.25">
      <c r="A2260" s="631" t="s">
        <v>2683</v>
      </c>
      <c r="B2260" s="632" t="s">
        <v>2684</v>
      </c>
      <c r="C2260" s="632">
        <v>4918</v>
      </c>
    </row>
    <row r="2261" spans="1:3" x14ac:dyDescent="0.25">
      <c r="A2261" s="631" t="s">
        <v>2686</v>
      </c>
      <c r="B2261" s="632" t="s">
        <v>2685</v>
      </c>
      <c r="C2261" s="632">
        <v>4464</v>
      </c>
    </row>
    <row r="2262" spans="1:3" x14ac:dyDescent="0.25">
      <c r="A2262" s="631" t="s">
        <v>2687</v>
      </c>
      <c r="B2262" s="632" t="s">
        <v>2688</v>
      </c>
      <c r="C2262" s="632">
        <v>4464</v>
      </c>
    </row>
    <row r="2263" spans="1:3" x14ac:dyDescent="0.25">
      <c r="A2263" s="631" t="s">
        <v>2689</v>
      </c>
      <c r="B2263" s="632" t="s">
        <v>2690</v>
      </c>
      <c r="C2263" s="632">
        <v>4918</v>
      </c>
    </row>
    <row r="2264" spans="1:3" x14ac:dyDescent="0.25">
      <c r="A2264" s="631" t="s">
        <v>2691</v>
      </c>
      <c r="B2264" s="632" t="s">
        <v>2692</v>
      </c>
      <c r="C2264" s="632">
        <v>4464</v>
      </c>
    </row>
    <row r="2265" spans="1:3" x14ac:dyDescent="0.25">
      <c r="A2265" s="631" t="s">
        <v>2693</v>
      </c>
      <c r="B2265" s="632" t="s">
        <v>2694</v>
      </c>
      <c r="C2265" s="632">
        <v>4918</v>
      </c>
    </row>
    <row r="2266" spans="1:3" x14ac:dyDescent="0.25">
      <c r="A2266" s="631" t="s">
        <v>2696</v>
      </c>
      <c r="B2266" s="632" t="s">
        <v>2695</v>
      </c>
      <c r="C2266" s="632">
        <v>4464</v>
      </c>
    </row>
    <row r="2267" spans="1:3" x14ac:dyDescent="0.25">
      <c r="A2267" s="631" t="s">
        <v>2697</v>
      </c>
      <c r="B2267" s="632" t="s">
        <v>2698</v>
      </c>
      <c r="C2267" s="632">
        <v>4918</v>
      </c>
    </row>
    <row r="2268" spans="1:3" x14ac:dyDescent="0.25">
      <c r="A2268" s="631" t="s">
        <v>2700</v>
      </c>
      <c r="B2268" s="632" t="s">
        <v>2699</v>
      </c>
      <c r="C2268" s="632">
        <v>4464</v>
      </c>
    </row>
    <row r="2269" spans="1:3" x14ac:dyDescent="0.25">
      <c r="A2269" s="631" t="s">
        <v>2702</v>
      </c>
      <c r="B2269" s="632" t="s">
        <v>2701</v>
      </c>
      <c r="C2269" s="632">
        <v>4464</v>
      </c>
    </row>
    <row r="2270" spans="1:3" x14ac:dyDescent="0.25">
      <c r="A2270" s="631" t="s">
        <v>2703</v>
      </c>
      <c r="B2270" s="632" t="s">
        <v>2704</v>
      </c>
      <c r="C2270" s="632">
        <v>4918</v>
      </c>
    </row>
    <row r="2271" spans="1:3" x14ac:dyDescent="0.25">
      <c r="A2271" s="631" t="s">
        <v>2706</v>
      </c>
      <c r="B2271" s="632" t="s">
        <v>2705</v>
      </c>
      <c r="C2271" s="632">
        <v>4464</v>
      </c>
    </row>
    <row r="2272" spans="1:3" x14ac:dyDescent="0.25">
      <c r="A2272" s="631" t="s">
        <v>2707</v>
      </c>
      <c r="B2272" s="632" t="s">
        <v>2708</v>
      </c>
      <c r="C2272" s="632">
        <v>4918</v>
      </c>
    </row>
    <row r="2273" spans="1:3" x14ac:dyDescent="0.25">
      <c r="A2273" s="631" t="s">
        <v>2710</v>
      </c>
      <c r="B2273" s="632" t="s">
        <v>2709</v>
      </c>
      <c r="C2273" s="632">
        <v>4464</v>
      </c>
    </row>
    <row r="2274" spans="1:3" x14ac:dyDescent="0.25">
      <c r="A2274" s="631" t="s">
        <v>2711</v>
      </c>
      <c r="B2274" s="632" t="s">
        <v>2712</v>
      </c>
      <c r="C2274" s="632">
        <v>4918</v>
      </c>
    </row>
    <row r="2275" spans="1:3" x14ac:dyDescent="0.25">
      <c r="A2275" s="631" t="s">
        <v>2714</v>
      </c>
      <c r="B2275" s="632" t="s">
        <v>2713</v>
      </c>
      <c r="C2275" s="632">
        <v>4464</v>
      </c>
    </row>
    <row r="2276" spans="1:3" x14ac:dyDescent="0.25">
      <c r="A2276" s="631" t="s">
        <v>2716</v>
      </c>
      <c r="B2276" s="632" t="s">
        <v>2715</v>
      </c>
      <c r="C2276" s="632">
        <v>4464</v>
      </c>
    </row>
    <row r="2277" spans="1:3" x14ac:dyDescent="0.25">
      <c r="A2277" s="631" t="s">
        <v>2717</v>
      </c>
      <c r="B2277" s="632" t="s">
        <v>2718</v>
      </c>
      <c r="C2277" s="632">
        <v>4918</v>
      </c>
    </row>
    <row r="2278" spans="1:3" x14ac:dyDescent="0.25">
      <c r="A2278" s="631" t="s">
        <v>2720</v>
      </c>
      <c r="B2278" s="632" t="s">
        <v>2719</v>
      </c>
      <c r="C2278" s="632">
        <v>4464</v>
      </c>
    </row>
    <row r="2279" spans="1:3" x14ac:dyDescent="0.25">
      <c r="A2279" s="631" t="s">
        <v>2721</v>
      </c>
      <c r="B2279" s="632" t="s">
        <v>2722</v>
      </c>
      <c r="C2279" s="632">
        <v>4918</v>
      </c>
    </row>
    <row r="2280" spans="1:3" x14ac:dyDescent="0.25">
      <c r="A2280" s="631" t="s">
        <v>2724</v>
      </c>
      <c r="B2280" s="632" t="s">
        <v>2723</v>
      </c>
      <c r="C2280" s="632">
        <v>4464</v>
      </c>
    </row>
    <row r="2281" spans="1:3" x14ac:dyDescent="0.25">
      <c r="A2281" s="631" t="s">
        <v>2725</v>
      </c>
      <c r="B2281" s="632" t="s">
        <v>2726</v>
      </c>
      <c r="C2281" s="632">
        <v>4918</v>
      </c>
    </row>
    <row r="2282" spans="1:3" x14ac:dyDescent="0.25">
      <c r="A2282" s="631" t="s">
        <v>2728</v>
      </c>
      <c r="B2282" s="632" t="s">
        <v>2727</v>
      </c>
      <c r="C2282" s="632">
        <v>4464</v>
      </c>
    </row>
    <row r="2283" spans="1:3" x14ac:dyDescent="0.25">
      <c r="A2283" s="631" t="s">
        <v>2730</v>
      </c>
      <c r="B2283" s="632" t="s">
        <v>2729</v>
      </c>
      <c r="C2283" s="632">
        <v>4464</v>
      </c>
    </row>
    <row r="2284" spans="1:3" x14ac:dyDescent="0.25">
      <c r="A2284" s="631" t="s">
        <v>2731</v>
      </c>
      <c r="B2284" s="632" t="s">
        <v>2732</v>
      </c>
      <c r="C2284" s="632">
        <v>4918</v>
      </c>
    </row>
    <row r="2285" spans="1:3" x14ac:dyDescent="0.25">
      <c r="A2285" s="631" t="s">
        <v>2734</v>
      </c>
      <c r="B2285" s="632" t="s">
        <v>2733</v>
      </c>
      <c r="C2285" s="632">
        <v>4464</v>
      </c>
    </row>
    <row r="2286" spans="1:3" x14ac:dyDescent="0.25">
      <c r="A2286" s="631" t="s">
        <v>2735</v>
      </c>
      <c r="B2286" s="632" t="s">
        <v>2736</v>
      </c>
      <c r="C2286" s="632">
        <v>4918</v>
      </c>
    </row>
    <row r="2287" spans="1:3" x14ac:dyDescent="0.25">
      <c r="A2287" s="631" t="s">
        <v>2738</v>
      </c>
      <c r="B2287" s="632" t="s">
        <v>2737</v>
      </c>
      <c r="C2287" s="632">
        <v>4464</v>
      </c>
    </row>
    <row r="2288" spans="1:3" x14ac:dyDescent="0.25">
      <c r="A2288" s="631" t="s">
        <v>2739</v>
      </c>
      <c r="B2288" s="632" t="s">
        <v>2740</v>
      </c>
      <c r="C2288" s="632">
        <v>4918</v>
      </c>
    </row>
    <row r="2289" spans="1:3" x14ac:dyDescent="0.25">
      <c r="A2289" s="631" t="s">
        <v>2742</v>
      </c>
      <c r="B2289" s="632" t="s">
        <v>2741</v>
      </c>
      <c r="C2289" s="632">
        <v>4464</v>
      </c>
    </row>
    <row r="2290" spans="1:3" x14ac:dyDescent="0.25">
      <c r="A2290" s="631" t="s">
        <v>2744</v>
      </c>
      <c r="B2290" s="632" t="s">
        <v>2743</v>
      </c>
      <c r="C2290" s="632">
        <v>4464</v>
      </c>
    </row>
    <row r="2291" spans="1:3" x14ac:dyDescent="0.25">
      <c r="A2291" s="631" t="s">
        <v>2746</v>
      </c>
      <c r="B2291" s="632" t="s">
        <v>2745</v>
      </c>
      <c r="C2291" s="632">
        <v>4464</v>
      </c>
    </row>
    <row r="2292" spans="1:3" x14ac:dyDescent="0.25">
      <c r="A2292" s="631" t="s">
        <v>2748</v>
      </c>
      <c r="B2292" s="632" t="s">
        <v>2747</v>
      </c>
      <c r="C2292" s="632">
        <v>4464</v>
      </c>
    </row>
    <row r="2293" spans="1:3" x14ac:dyDescent="0.25">
      <c r="A2293" s="631" t="s">
        <v>2750</v>
      </c>
      <c r="B2293" s="632" t="s">
        <v>2749</v>
      </c>
      <c r="C2293" s="632">
        <v>7315</v>
      </c>
    </row>
    <row r="2294" spans="1:3" x14ac:dyDescent="0.25">
      <c r="A2294" s="631" t="s">
        <v>2752</v>
      </c>
      <c r="B2294" s="632" t="s">
        <v>2751</v>
      </c>
      <c r="C2294" s="632">
        <v>7995</v>
      </c>
    </row>
    <row r="2295" spans="1:3" x14ac:dyDescent="0.25">
      <c r="A2295" s="631" t="s">
        <v>2754</v>
      </c>
      <c r="B2295" s="632" t="s">
        <v>2753</v>
      </c>
      <c r="C2295" s="632">
        <v>7995</v>
      </c>
    </row>
    <row r="2296" spans="1:3" x14ac:dyDescent="0.25">
      <c r="A2296" s="631" t="s">
        <v>2756</v>
      </c>
      <c r="B2296" s="632" t="s">
        <v>2755</v>
      </c>
      <c r="C2296" s="632">
        <v>4464</v>
      </c>
    </row>
    <row r="2297" spans="1:3" x14ac:dyDescent="0.25">
      <c r="A2297" s="631" t="s">
        <v>2757</v>
      </c>
      <c r="B2297" s="632" t="s">
        <v>2758</v>
      </c>
      <c r="C2297" s="632">
        <v>4918</v>
      </c>
    </row>
    <row r="2298" spans="1:3" x14ac:dyDescent="0.25">
      <c r="A2298" s="631" t="s">
        <v>2760</v>
      </c>
      <c r="B2298" s="632" t="s">
        <v>2759</v>
      </c>
      <c r="C2298" s="632">
        <v>4464</v>
      </c>
    </row>
    <row r="2299" spans="1:3" x14ac:dyDescent="0.25">
      <c r="A2299" s="631" t="s">
        <v>2761</v>
      </c>
      <c r="B2299" s="632" t="s">
        <v>2762</v>
      </c>
      <c r="C2299" s="632">
        <v>4918</v>
      </c>
    </row>
    <row r="2300" spans="1:3" x14ac:dyDescent="0.25">
      <c r="A2300" s="631" t="s">
        <v>2764</v>
      </c>
      <c r="B2300" s="632" t="s">
        <v>2763</v>
      </c>
      <c r="C2300" s="632">
        <v>4464</v>
      </c>
    </row>
    <row r="2301" spans="1:3" x14ac:dyDescent="0.25">
      <c r="A2301" s="631" t="s">
        <v>2766</v>
      </c>
      <c r="B2301" s="632" t="s">
        <v>2765</v>
      </c>
      <c r="C2301" s="632">
        <v>4464</v>
      </c>
    </row>
    <row r="2302" spans="1:3" x14ac:dyDescent="0.25">
      <c r="A2302" s="631" t="s">
        <v>2767</v>
      </c>
      <c r="B2302" s="632" t="s">
        <v>2768</v>
      </c>
      <c r="C2302" s="632">
        <v>4918</v>
      </c>
    </row>
    <row r="2303" spans="1:3" x14ac:dyDescent="0.25">
      <c r="A2303" s="631" t="s">
        <v>2770</v>
      </c>
      <c r="B2303" s="632" t="s">
        <v>2769</v>
      </c>
      <c r="C2303" s="632">
        <v>4464</v>
      </c>
    </row>
    <row r="2304" spans="1:3" x14ac:dyDescent="0.25">
      <c r="A2304" s="631" t="s">
        <v>2771</v>
      </c>
      <c r="B2304" s="632" t="s">
        <v>2772</v>
      </c>
      <c r="C2304" s="632">
        <v>4918</v>
      </c>
    </row>
    <row r="2305" spans="1:3" x14ac:dyDescent="0.25">
      <c r="A2305" s="631" t="s">
        <v>2774</v>
      </c>
      <c r="B2305" s="632" t="s">
        <v>2773</v>
      </c>
      <c r="C2305" s="632">
        <v>4464</v>
      </c>
    </row>
    <row r="2306" spans="1:3" x14ac:dyDescent="0.25">
      <c r="A2306" s="631" t="s">
        <v>2776</v>
      </c>
      <c r="B2306" s="632" t="s">
        <v>2775</v>
      </c>
      <c r="C2306" s="632">
        <v>4464</v>
      </c>
    </row>
    <row r="2307" spans="1:3" x14ac:dyDescent="0.25">
      <c r="A2307" s="631" t="s">
        <v>2777</v>
      </c>
      <c r="B2307" s="632" t="s">
        <v>2778</v>
      </c>
      <c r="C2307" s="632">
        <v>4918</v>
      </c>
    </row>
    <row r="2308" spans="1:3" x14ac:dyDescent="0.25">
      <c r="A2308" s="631" t="s">
        <v>2780</v>
      </c>
      <c r="B2308" s="632" t="s">
        <v>2779</v>
      </c>
      <c r="C2308" s="632">
        <v>4464</v>
      </c>
    </row>
    <row r="2309" spans="1:3" x14ac:dyDescent="0.25">
      <c r="A2309" s="631" t="s">
        <v>2781</v>
      </c>
      <c r="B2309" s="632" t="s">
        <v>2782</v>
      </c>
      <c r="C2309" s="632">
        <v>4918</v>
      </c>
    </row>
    <row r="2310" spans="1:3" x14ac:dyDescent="0.25">
      <c r="A2310" s="631" t="s">
        <v>2783</v>
      </c>
      <c r="B2310" s="632" t="s">
        <v>2784</v>
      </c>
      <c r="C2310" s="632">
        <v>4464</v>
      </c>
    </row>
    <row r="2311" spans="1:3" x14ac:dyDescent="0.25">
      <c r="A2311" s="631" t="s">
        <v>2786</v>
      </c>
      <c r="B2311" s="632" t="s">
        <v>2785</v>
      </c>
      <c r="C2311" s="632">
        <v>4464</v>
      </c>
    </row>
    <row r="2312" spans="1:3" x14ac:dyDescent="0.25">
      <c r="A2312" s="631" t="s">
        <v>2787</v>
      </c>
      <c r="B2312" s="632" t="s">
        <v>2788</v>
      </c>
      <c r="C2312" s="632">
        <v>4918</v>
      </c>
    </row>
    <row r="2313" spans="1:3" x14ac:dyDescent="0.25">
      <c r="A2313" s="631" t="s">
        <v>2790</v>
      </c>
      <c r="B2313" s="632" t="s">
        <v>2789</v>
      </c>
      <c r="C2313" s="632">
        <v>4464</v>
      </c>
    </row>
    <row r="2314" spans="1:3" x14ac:dyDescent="0.25">
      <c r="A2314" s="631" t="s">
        <v>2791</v>
      </c>
      <c r="B2314" s="632" t="s">
        <v>2792</v>
      </c>
      <c r="C2314" s="632">
        <v>4918</v>
      </c>
    </row>
    <row r="2315" spans="1:3" x14ac:dyDescent="0.25">
      <c r="A2315" s="631" t="s">
        <v>2794</v>
      </c>
      <c r="B2315" s="632" t="s">
        <v>2793</v>
      </c>
      <c r="C2315" s="632">
        <v>4464</v>
      </c>
    </row>
    <row r="2316" spans="1:3" x14ac:dyDescent="0.25">
      <c r="A2316" s="631" t="s">
        <v>2796</v>
      </c>
      <c r="B2316" s="632" t="s">
        <v>2795</v>
      </c>
      <c r="C2316" s="632">
        <v>4464</v>
      </c>
    </row>
    <row r="2317" spans="1:3" x14ac:dyDescent="0.25">
      <c r="A2317" s="631" t="s">
        <v>2797</v>
      </c>
      <c r="B2317" s="632" t="s">
        <v>2798</v>
      </c>
      <c r="C2317" s="632">
        <v>4918</v>
      </c>
    </row>
    <row r="2318" spans="1:3" x14ac:dyDescent="0.25">
      <c r="A2318" s="631" t="s">
        <v>2800</v>
      </c>
      <c r="B2318" s="632" t="s">
        <v>2799</v>
      </c>
      <c r="C2318" s="632">
        <v>4464</v>
      </c>
    </row>
    <row r="2319" spans="1:3" x14ac:dyDescent="0.25">
      <c r="A2319" s="631" t="s">
        <v>2801</v>
      </c>
      <c r="B2319" s="632" t="s">
        <v>2802</v>
      </c>
      <c r="C2319" s="632">
        <v>4918</v>
      </c>
    </row>
    <row r="2320" spans="1:3" x14ac:dyDescent="0.25">
      <c r="A2320" s="631" t="s">
        <v>2804</v>
      </c>
      <c r="B2320" s="632" t="s">
        <v>2803</v>
      </c>
      <c r="C2320" s="632">
        <v>4464</v>
      </c>
    </row>
    <row r="2321" spans="1:3" x14ac:dyDescent="0.25">
      <c r="A2321" s="631" t="s">
        <v>2806</v>
      </c>
      <c r="B2321" s="632" t="s">
        <v>2805</v>
      </c>
      <c r="C2321" s="632">
        <v>4464</v>
      </c>
    </row>
    <row r="2322" spans="1:3" x14ac:dyDescent="0.25">
      <c r="A2322" s="631" t="s">
        <v>2807</v>
      </c>
      <c r="B2322" s="632" t="s">
        <v>2808</v>
      </c>
      <c r="C2322" s="632">
        <v>4464</v>
      </c>
    </row>
    <row r="2323" spans="1:3" x14ac:dyDescent="0.25">
      <c r="A2323" s="631" t="s">
        <v>2809</v>
      </c>
      <c r="B2323" s="632" t="s">
        <v>2810</v>
      </c>
      <c r="C2323" s="632">
        <v>4464</v>
      </c>
    </row>
    <row r="2324" spans="1:3" x14ac:dyDescent="0.25">
      <c r="A2324" s="631">
        <v>5262417</v>
      </c>
      <c r="B2324" s="632" t="s">
        <v>2811</v>
      </c>
      <c r="C2324" s="632">
        <v>2026</v>
      </c>
    </row>
    <row r="2325" spans="1:3" x14ac:dyDescent="0.25">
      <c r="A2325" s="631" t="s">
        <v>2812</v>
      </c>
      <c r="B2325" s="632" t="s">
        <v>2813</v>
      </c>
      <c r="C2325" s="632">
        <v>2026</v>
      </c>
    </row>
    <row r="2326" spans="1:3" x14ac:dyDescent="0.25">
      <c r="A2326" s="631">
        <v>5262418</v>
      </c>
      <c r="B2326" s="632" t="s">
        <v>2814</v>
      </c>
      <c r="C2326" s="632">
        <v>2026</v>
      </c>
    </row>
    <row r="2327" spans="1:3" x14ac:dyDescent="0.25">
      <c r="A2327" s="631" t="s">
        <v>2815</v>
      </c>
      <c r="B2327" s="632" t="s">
        <v>2816</v>
      </c>
      <c r="C2327" s="632">
        <v>2026</v>
      </c>
    </row>
    <row r="2328" spans="1:3" x14ac:dyDescent="0.25">
      <c r="A2328" s="631">
        <v>5262717</v>
      </c>
      <c r="B2328" s="632" t="s">
        <v>2817</v>
      </c>
      <c r="C2328" s="632">
        <v>2026</v>
      </c>
    </row>
    <row r="2329" spans="1:3" x14ac:dyDescent="0.25">
      <c r="A2329" s="631" t="s">
        <v>2818</v>
      </c>
      <c r="B2329" s="632" t="s">
        <v>2819</v>
      </c>
      <c r="C2329" s="632">
        <v>2026</v>
      </c>
    </row>
    <row r="2330" spans="1:3" x14ac:dyDescent="0.25">
      <c r="A2330" s="631">
        <v>5262718</v>
      </c>
      <c r="B2330" s="632" t="s">
        <v>2820</v>
      </c>
      <c r="C2330" s="632">
        <v>2026</v>
      </c>
    </row>
    <row r="2331" spans="1:3" x14ac:dyDescent="0.25">
      <c r="A2331" s="631" t="s">
        <v>2821</v>
      </c>
      <c r="B2331" s="632" t="s">
        <v>2822</v>
      </c>
      <c r="C2331" s="632">
        <v>2026</v>
      </c>
    </row>
    <row r="2332" spans="1:3" x14ac:dyDescent="0.25">
      <c r="A2332" s="631">
        <v>5262725</v>
      </c>
      <c r="B2332" s="632" t="s">
        <v>2823</v>
      </c>
      <c r="C2332" s="632">
        <v>1225</v>
      </c>
    </row>
    <row r="2333" spans="1:3" x14ac:dyDescent="0.25">
      <c r="A2333" s="631">
        <v>5262730</v>
      </c>
      <c r="B2333" s="632" t="s">
        <v>2824</v>
      </c>
      <c r="C2333" s="632">
        <v>1225</v>
      </c>
    </row>
    <row r="2334" spans="1:3" x14ac:dyDescent="0.25">
      <c r="A2334" s="631">
        <v>5262735</v>
      </c>
      <c r="B2334" s="632" t="s">
        <v>2825</v>
      </c>
      <c r="C2334" s="632">
        <v>1225</v>
      </c>
    </row>
    <row r="2335" spans="1:3" x14ac:dyDescent="0.25">
      <c r="A2335" s="631">
        <v>5262740</v>
      </c>
      <c r="B2335" s="632" t="s">
        <v>2826</v>
      </c>
      <c r="C2335" s="632">
        <v>1225</v>
      </c>
    </row>
    <row r="2336" spans="1:3" x14ac:dyDescent="0.25">
      <c r="A2336" s="631">
        <v>5263017</v>
      </c>
      <c r="B2336" s="632" t="s">
        <v>2827</v>
      </c>
      <c r="C2336" s="632">
        <v>2026</v>
      </c>
    </row>
    <row r="2337" spans="1:3" x14ac:dyDescent="0.25">
      <c r="A2337" s="631" t="s">
        <v>2828</v>
      </c>
      <c r="B2337" s="632" t="s">
        <v>2829</v>
      </c>
      <c r="C2337" s="632">
        <v>2026</v>
      </c>
    </row>
    <row r="2338" spans="1:3" x14ac:dyDescent="0.25">
      <c r="A2338" s="631">
        <v>5263018</v>
      </c>
      <c r="B2338" s="632" t="s">
        <v>2830</v>
      </c>
      <c r="C2338" s="632">
        <v>2026</v>
      </c>
    </row>
    <row r="2339" spans="1:3" x14ac:dyDescent="0.25">
      <c r="A2339" s="631" t="s">
        <v>2831</v>
      </c>
      <c r="B2339" s="632" t="s">
        <v>2832</v>
      </c>
      <c r="C2339" s="632">
        <v>2026</v>
      </c>
    </row>
    <row r="2340" spans="1:3" x14ac:dyDescent="0.25">
      <c r="A2340" s="631">
        <v>5263020</v>
      </c>
      <c r="B2340" s="632" t="s">
        <v>2833</v>
      </c>
      <c r="C2340" s="632">
        <v>1340</v>
      </c>
    </row>
    <row r="2341" spans="1:3" x14ac:dyDescent="0.25">
      <c r="A2341" s="631">
        <v>5263025</v>
      </c>
      <c r="B2341" s="632" t="s">
        <v>2834</v>
      </c>
      <c r="C2341" s="632">
        <v>1225</v>
      </c>
    </row>
    <row r="2342" spans="1:3" x14ac:dyDescent="0.25">
      <c r="A2342" s="631">
        <v>5263030</v>
      </c>
      <c r="B2342" s="632" t="s">
        <v>2835</v>
      </c>
      <c r="C2342" s="632">
        <v>1225</v>
      </c>
    </row>
    <row r="2343" spans="1:3" x14ac:dyDescent="0.25">
      <c r="A2343" s="631" t="s">
        <v>2836</v>
      </c>
      <c r="B2343" s="632" t="s">
        <v>2837</v>
      </c>
      <c r="C2343" s="632">
        <v>1225</v>
      </c>
    </row>
    <row r="2344" spans="1:3" x14ac:dyDescent="0.25">
      <c r="A2344" s="631">
        <v>5263035</v>
      </c>
      <c r="B2344" s="632" t="s">
        <v>2838</v>
      </c>
      <c r="C2344" s="632">
        <v>1225</v>
      </c>
    </row>
    <row r="2345" spans="1:3" x14ac:dyDescent="0.25">
      <c r="A2345" s="631" t="s">
        <v>2839</v>
      </c>
      <c r="B2345" s="632" t="s">
        <v>2840</v>
      </c>
      <c r="C2345" s="632">
        <v>1225</v>
      </c>
    </row>
    <row r="2346" spans="1:3" x14ac:dyDescent="0.25">
      <c r="A2346" s="631">
        <v>5263040</v>
      </c>
      <c r="B2346" s="632" t="s">
        <v>2841</v>
      </c>
      <c r="C2346" s="632">
        <v>1225</v>
      </c>
    </row>
    <row r="2347" spans="1:3" x14ac:dyDescent="0.25">
      <c r="A2347" s="631" t="s">
        <v>2842</v>
      </c>
      <c r="B2347" s="632" t="s">
        <v>2843</v>
      </c>
      <c r="C2347" s="632">
        <v>1225</v>
      </c>
    </row>
    <row r="2348" spans="1:3" x14ac:dyDescent="0.25">
      <c r="A2348" s="631">
        <v>5263045</v>
      </c>
      <c r="B2348" s="632" t="s">
        <v>2844</v>
      </c>
      <c r="C2348" s="632">
        <v>1225</v>
      </c>
    </row>
    <row r="2349" spans="1:3" x14ac:dyDescent="0.25">
      <c r="A2349" s="631">
        <v>5263317</v>
      </c>
      <c r="B2349" s="632" t="s">
        <v>2845</v>
      </c>
      <c r="C2349" s="632">
        <v>2026</v>
      </c>
    </row>
    <row r="2350" spans="1:3" x14ac:dyDescent="0.25">
      <c r="A2350" s="631" t="s">
        <v>2846</v>
      </c>
      <c r="B2350" s="632" t="s">
        <v>2847</v>
      </c>
      <c r="C2350" s="632">
        <v>2026</v>
      </c>
    </row>
    <row r="2351" spans="1:3" x14ac:dyDescent="0.25">
      <c r="A2351" s="631">
        <v>5263318</v>
      </c>
      <c r="B2351" s="632" t="s">
        <v>2848</v>
      </c>
      <c r="C2351" s="632">
        <v>2026</v>
      </c>
    </row>
    <row r="2352" spans="1:3" x14ac:dyDescent="0.25">
      <c r="A2352" s="631" t="s">
        <v>2849</v>
      </c>
      <c r="B2352" s="632" t="s">
        <v>2850</v>
      </c>
      <c r="C2352" s="632">
        <v>2026</v>
      </c>
    </row>
    <row r="2353" spans="1:3" x14ac:dyDescent="0.25">
      <c r="A2353" s="631">
        <v>5263320</v>
      </c>
      <c r="B2353" s="632" t="s">
        <v>2851</v>
      </c>
      <c r="C2353" s="632">
        <v>1340</v>
      </c>
    </row>
    <row r="2354" spans="1:3" x14ac:dyDescent="0.25">
      <c r="A2354" s="631" t="s">
        <v>2852</v>
      </c>
      <c r="B2354" s="632" t="s">
        <v>2853</v>
      </c>
      <c r="C2354" s="632">
        <v>1929</v>
      </c>
    </row>
    <row r="2355" spans="1:3" x14ac:dyDescent="0.25">
      <c r="A2355" s="631">
        <v>5263325</v>
      </c>
      <c r="B2355" s="632" t="s">
        <v>2854</v>
      </c>
      <c r="C2355" s="632">
        <v>1225</v>
      </c>
    </row>
    <row r="2356" spans="1:3" x14ac:dyDescent="0.25">
      <c r="A2356" s="631" t="s">
        <v>2855</v>
      </c>
      <c r="B2356" s="632" t="s">
        <v>2856</v>
      </c>
      <c r="C2356" s="632">
        <v>1929</v>
      </c>
    </row>
    <row r="2357" spans="1:3" x14ac:dyDescent="0.25">
      <c r="A2357" s="631">
        <v>5263330</v>
      </c>
      <c r="B2357" s="632" t="s">
        <v>2857</v>
      </c>
      <c r="C2357" s="632">
        <v>1225</v>
      </c>
    </row>
    <row r="2358" spans="1:3" x14ac:dyDescent="0.25">
      <c r="A2358" s="631" t="s">
        <v>2858</v>
      </c>
      <c r="B2358" s="632" t="s">
        <v>2859</v>
      </c>
      <c r="C2358" s="632">
        <v>2172</v>
      </c>
    </row>
    <row r="2359" spans="1:3" x14ac:dyDescent="0.25">
      <c r="A2359" s="631" t="s">
        <v>2860</v>
      </c>
      <c r="B2359" s="632" t="s">
        <v>2861</v>
      </c>
      <c r="C2359" s="632">
        <v>2172</v>
      </c>
    </row>
    <row r="2360" spans="1:3" x14ac:dyDescent="0.25">
      <c r="A2360" s="631" t="s">
        <v>2862</v>
      </c>
      <c r="B2360" s="632" t="s">
        <v>2863</v>
      </c>
      <c r="C2360" s="632">
        <v>1225</v>
      </c>
    </row>
    <row r="2361" spans="1:3" x14ac:dyDescent="0.25">
      <c r="A2361" s="631">
        <v>5263335</v>
      </c>
      <c r="B2361" s="632" t="s">
        <v>2864</v>
      </c>
      <c r="C2361" s="632">
        <v>1225</v>
      </c>
    </row>
    <row r="2362" spans="1:3" x14ac:dyDescent="0.25">
      <c r="A2362" s="631" t="s">
        <v>2865</v>
      </c>
      <c r="B2362" s="632" t="s">
        <v>2866</v>
      </c>
      <c r="C2362" s="632">
        <v>2172</v>
      </c>
    </row>
    <row r="2363" spans="1:3" x14ac:dyDescent="0.25">
      <c r="A2363" s="631" t="s">
        <v>2867</v>
      </c>
      <c r="B2363" s="632" t="s">
        <v>2868</v>
      </c>
      <c r="C2363" s="632">
        <v>1929</v>
      </c>
    </row>
    <row r="2364" spans="1:3" x14ac:dyDescent="0.25">
      <c r="A2364" s="631" t="s">
        <v>2869</v>
      </c>
      <c r="B2364" s="632" t="s">
        <v>2870</v>
      </c>
      <c r="C2364" s="632">
        <v>1225</v>
      </c>
    </row>
    <row r="2365" spans="1:3" x14ac:dyDescent="0.25">
      <c r="A2365" s="631">
        <v>5263340</v>
      </c>
      <c r="B2365" s="632" t="s">
        <v>2871</v>
      </c>
      <c r="C2365" s="632">
        <v>1225</v>
      </c>
    </row>
    <row r="2366" spans="1:3" x14ac:dyDescent="0.25">
      <c r="A2366" s="631" t="s">
        <v>2872</v>
      </c>
      <c r="B2366" s="632" t="s">
        <v>2873</v>
      </c>
      <c r="C2366" s="632">
        <v>1225</v>
      </c>
    </row>
    <row r="2367" spans="1:3" x14ac:dyDescent="0.25">
      <c r="A2367" s="631">
        <v>5263345</v>
      </c>
      <c r="B2367" s="632" t="s">
        <v>2874</v>
      </c>
      <c r="C2367" s="632">
        <v>1225</v>
      </c>
    </row>
    <row r="2368" spans="1:3" x14ac:dyDescent="0.25">
      <c r="A2368" s="631">
        <v>5263620</v>
      </c>
      <c r="B2368" s="632" t="s">
        <v>2875</v>
      </c>
      <c r="C2368" s="632">
        <v>1340</v>
      </c>
    </row>
    <row r="2369" spans="1:3" x14ac:dyDescent="0.25">
      <c r="A2369" s="631" t="s">
        <v>2876</v>
      </c>
      <c r="B2369" s="632" t="s">
        <v>2877</v>
      </c>
      <c r="C2369" s="632">
        <v>2374</v>
      </c>
    </row>
    <row r="2370" spans="1:3" x14ac:dyDescent="0.25">
      <c r="A2370" s="631">
        <v>5263625</v>
      </c>
      <c r="B2370" s="632" t="s">
        <v>2878</v>
      </c>
      <c r="C2370" s="632">
        <v>1225</v>
      </c>
    </row>
    <row r="2371" spans="1:3" x14ac:dyDescent="0.25">
      <c r="A2371" s="631" t="s">
        <v>2879</v>
      </c>
      <c r="B2371" s="632" t="s">
        <v>2880</v>
      </c>
      <c r="C2371" s="632">
        <v>2172</v>
      </c>
    </row>
    <row r="2372" spans="1:3" x14ac:dyDescent="0.25">
      <c r="A2372" s="631">
        <v>5263630</v>
      </c>
      <c r="B2372" s="632" t="s">
        <v>2881</v>
      </c>
      <c r="C2372" s="632">
        <v>1225</v>
      </c>
    </row>
    <row r="2373" spans="1:3" x14ac:dyDescent="0.25">
      <c r="A2373" s="631" t="s">
        <v>2882</v>
      </c>
      <c r="B2373" s="632" t="s">
        <v>2883</v>
      </c>
      <c r="C2373" s="632">
        <v>2172</v>
      </c>
    </row>
    <row r="2374" spans="1:3" x14ac:dyDescent="0.25">
      <c r="A2374" s="631" t="s">
        <v>2884</v>
      </c>
      <c r="B2374" s="632" t="s">
        <v>2885</v>
      </c>
      <c r="C2374" s="632">
        <v>2172</v>
      </c>
    </row>
    <row r="2375" spans="1:3" x14ac:dyDescent="0.25">
      <c r="A2375" s="631" t="s">
        <v>2886</v>
      </c>
      <c r="B2375" s="632" t="s">
        <v>2887</v>
      </c>
      <c r="C2375" s="632">
        <v>1225</v>
      </c>
    </row>
    <row r="2376" spans="1:3" x14ac:dyDescent="0.25">
      <c r="A2376" s="631">
        <v>5263635</v>
      </c>
      <c r="B2376" s="632" t="s">
        <v>2888</v>
      </c>
      <c r="C2376" s="632">
        <v>1225</v>
      </c>
    </row>
    <row r="2377" spans="1:3" x14ac:dyDescent="0.25">
      <c r="A2377" s="631" t="s">
        <v>2889</v>
      </c>
      <c r="B2377" s="632" t="s">
        <v>2890</v>
      </c>
      <c r="C2377" s="632">
        <v>2374</v>
      </c>
    </row>
    <row r="2378" spans="1:3" x14ac:dyDescent="0.25">
      <c r="A2378" s="631" t="s">
        <v>2891</v>
      </c>
      <c r="B2378" s="632" t="s">
        <v>2892</v>
      </c>
      <c r="C2378" s="632">
        <v>2816</v>
      </c>
    </row>
    <row r="2379" spans="1:3" x14ac:dyDescent="0.25">
      <c r="A2379" s="631" t="s">
        <v>2893</v>
      </c>
      <c r="B2379" s="632" t="s">
        <v>2894</v>
      </c>
      <c r="C2379" s="632">
        <v>1225</v>
      </c>
    </row>
    <row r="2380" spans="1:3" x14ac:dyDescent="0.25">
      <c r="A2380" s="631">
        <v>5263640</v>
      </c>
      <c r="B2380" s="632" t="s">
        <v>2895</v>
      </c>
      <c r="C2380" s="632">
        <v>1225</v>
      </c>
    </row>
    <row r="2381" spans="1:3" x14ac:dyDescent="0.25">
      <c r="A2381" s="631" t="s">
        <v>2896</v>
      </c>
      <c r="B2381" s="632" t="s">
        <v>2897</v>
      </c>
      <c r="C2381" s="632">
        <v>1225</v>
      </c>
    </row>
    <row r="2382" spans="1:3" x14ac:dyDescent="0.25">
      <c r="A2382" s="631">
        <v>5263645</v>
      </c>
      <c r="B2382" s="632" t="s">
        <v>2898</v>
      </c>
      <c r="C2382" s="632">
        <v>1225</v>
      </c>
    </row>
    <row r="2383" spans="1:3" x14ac:dyDescent="0.25">
      <c r="A2383" s="631">
        <v>5263920</v>
      </c>
      <c r="B2383" s="632" t="s">
        <v>2899</v>
      </c>
      <c r="C2383" s="632">
        <v>1340</v>
      </c>
    </row>
    <row r="2384" spans="1:3" x14ac:dyDescent="0.25">
      <c r="A2384" s="631" t="s">
        <v>2900</v>
      </c>
      <c r="B2384" s="632" t="s">
        <v>2901</v>
      </c>
      <c r="C2384" s="632">
        <v>2374</v>
      </c>
    </row>
    <row r="2385" spans="1:3" x14ac:dyDescent="0.25">
      <c r="A2385" s="631">
        <v>5263925</v>
      </c>
      <c r="B2385" s="632" t="s">
        <v>2902</v>
      </c>
      <c r="C2385" s="632">
        <v>1225</v>
      </c>
    </row>
    <row r="2386" spans="1:3" x14ac:dyDescent="0.25">
      <c r="A2386" s="631" t="s">
        <v>2903</v>
      </c>
      <c r="B2386" s="632" t="s">
        <v>2904</v>
      </c>
      <c r="C2386" s="632">
        <v>2172</v>
      </c>
    </row>
    <row r="2387" spans="1:3" x14ac:dyDescent="0.25">
      <c r="A2387" s="631">
        <v>5263930</v>
      </c>
      <c r="B2387" s="632" t="s">
        <v>2905</v>
      </c>
      <c r="C2387" s="632">
        <v>1225</v>
      </c>
    </row>
    <row r="2388" spans="1:3" x14ac:dyDescent="0.25">
      <c r="A2388" s="631" t="s">
        <v>2906</v>
      </c>
      <c r="B2388" s="632" t="s">
        <v>2907</v>
      </c>
      <c r="C2388" s="632">
        <v>2172</v>
      </c>
    </row>
    <row r="2389" spans="1:3" x14ac:dyDescent="0.25">
      <c r="A2389" s="631" t="s">
        <v>2908</v>
      </c>
      <c r="B2389" s="632" t="s">
        <v>2909</v>
      </c>
      <c r="C2389" s="632">
        <v>2172</v>
      </c>
    </row>
    <row r="2390" spans="1:3" x14ac:dyDescent="0.25">
      <c r="A2390" s="631" t="s">
        <v>2910</v>
      </c>
      <c r="B2390" s="632" t="s">
        <v>2911</v>
      </c>
      <c r="C2390" s="632">
        <v>1225</v>
      </c>
    </row>
    <row r="2391" spans="1:3" x14ac:dyDescent="0.25">
      <c r="A2391" s="631">
        <v>5263935</v>
      </c>
      <c r="B2391" s="632" t="s">
        <v>2912</v>
      </c>
      <c r="C2391" s="632">
        <v>1225</v>
      </c>
    </row>
    <row r="2392" spans="1:3" x14ac:dyDescent="0.25">
      <c r="A2392" s="631" t="s">
        <v>2913</v>
      </c>
      <c r="B2392" s="632" t="s">
        <v>2914</v>
      </c>
      <c r="C2392" s="632">
        <v>2172</v>
      </c>
    </row>
    <row r="2393" spans="1:3" x14ac:dyDescent="0.25">
      <c r="A2393" s="631" t="s">
        <v>2915</v>
      </c>
      <c r="B2393" s="632" t="s">
        <v>2916</v>
      </c>
      <c r="C2393" s="632">
        <v>1929</v>
      </c>
    </row>
    <row r="2394" spans="1:3" x14ac:dyDescent="0.25">
      <c r="A2394" s="631" t="s">
        <v>2917</v>
      </c>
      <c r="B2394" s="632" t="s">
        <v>2918</v>
      </c>
      <c r="C2394" s="632">
        <v>1225</v>
      </c>
    </row>
    <row r="2395" spans="1:3" x14ac:dyDescent="0.25">
      <c r="A2395" s="631">
        <v>5263940</v>
      </c>
      <c r="B2395" s="632" t="s">
        <v>2919</v>
      </c>
      <c r="C2395" s="632">
        <v>1225</v>
      </c>
    </row>
    <row r="2396" spans="1:3" x14ac:dyDescent="0.25">
      <c r="A2396" s="631" t="s">
        <v>2920</v>
      </c>
      <c r="B2396" s="632" t="s">
        <v>2921</v>
      </c>
      <c r="C2396" s="632">
        <v>1225</v>
      </c>
    </row>
    <row r="2397" spans="1:3" x14ac:dyDescent="0.25">
      <c r="A2397" s="631">
        <v>5263945</v>
      </c>
      <c r="B2397" s="632" t="s">
        <v>2922</v>
      </c>
      <c r="C2397" s="632">
        <v>1225</v>
      </c>
    </row>
    <row r="2398" spans="1:3" x14ac:dyDescent="0.25">
      <c r="A2398" s="631">
        <v>5264220</v>
      </c>
      <c r="B2398" s="632" t="s">
        <v>2923</v>
      </c>
      <c r="C2398" s="632">
        <v>1340</v>
      </c>
    </row>
    <row r="2399" spans="1:3" x14ac:dyDescent="0.25">
      <c r="A2399" s="631" t="s">
        <v>2924</v>
      </c>
      <c r="B2399" s="632" t="s">
        <v>2925</v>
      </c>
      <c r="C2399" s="632">
        <v>2374</v>
      </c>
    </row>
    <row r="2400" spans="1:3" x14ac:dyDescent="0.25">
      <c r="A2400" s="631">
        <v>5264225</v>
      </c>
      <c r="B2400" s="632" t="s">
        <v>2926</v>
      </c>
      <c r="C2400" s="632">
        <v>1225</v>
      </c>
    </row>
    <row r="2401" spans="1:3" x14ac:dyDescent="0.25">
      <c r="A2401" s="631" t="s">
        <v>2927</v>
      </c>
      <c r="B2401" s="632" t="s">
        <v>2928</v>
      </c>
      <c r="C2401" s="632">
        <v>2172</v>
      </c>
    </row>
    <row r="2402" spans="1:3" x14ac:dyDescent="0.25">
      <c r="A2402" s="631">
        <v>5264230</v>
      </c>
      <c r="B2402" s="632" t="s">
        <v>2929</v>
      </c>
      <c r="C2402" s="632">
        <v>1225</v>
      </c>
    </row>
    <row r="2403" spans="1:3" x14ac:dyDescent="0.25">
      <c r="A2403" s="631" t="s">
        <v>2930</v>
      </c>
      <c r="B2403" s="632" t="s">
        <v>2931</v>
      </c>
      <c r="C2403" s="632">
        <v>2172</v>
      </c>
    </row>
    <row r="2404" spans="1:3" x14ac:dyDescent="0.25">
      <c r="A2404" s="631" t="s">
        <v>2932</v>
      </c>
      <c r="B2404" s="632" t="s">
        <v>2933</v>
      </c>
      <c r="C2404" s="632">
        <v>2172</v>
      </c>
    </row>
    <row r="2405" spans="1:3" x14ac:dyDescent="0.25">
      <c r="A2405" s="631" t="s">
        <v>2934</v>
      </c>
      <c r="B2405" s="632" t="s">
        <v>2935</v>
      </c>
      <c r="C2405" s="632">
        <v>1225</v>
      </c>
    </row>
    <row r="2406" spans="1:3" x14ac:dyDescent="0.25">
      <c r="A2406" s="631">
        <v>5264235</v>
      </c>
      <c r="B2406" s="632" t="s">
        <v>2936</v>
      </c>
      <c r="C2406" s="632">
        <v>1225</v>
      </c>
    </row>
    <row r="2407" spans="1:3" x14ac:dyDescent="0.25">
      <c r="A2407" s="631" t="s">
        <v>2937</v>
      </c>
      <c r="B2407" s="632" t="s">
        <v>2938</v>
      </c>
      <c r="C2407" s="632">
        <v>2172</v>
      </c>
    </row>
    <row r="2408" spans="1:3" x14ac:dyDescent="0.25">
      <c r="A2408" s="631" t="s">
        <v>2939</v>
      </c>
      <c r="B2408" s="632" t="s">
        <v>2940</v>
      </c>
      <c r="C2408" s="632">
        <v>1929</v>
      </c>
    </row>
    <row r="2409" spans="1:3" x14ac:dyDescent="0.25">
      <c r="A2409" s="631" t="s">
        <v>2941</v>
      </c>
      <c r="B2409" s="632" t="s">
        <v>2942</v>
      </c>
      <c r="C2409" s="632">
        <v>1225</v>
      </c>
    </row>
    <row r="2410" spans="1:3" x14ac:dyDescent="0.25">
      <c r="A2410" s="631">
        <v>5264240</v>
      </c>
      <c r="B2410" s="632" t="s">
        <v>2943</v>
      </c>
      <c r="C2410" s="632">
        <v>1225</v>
      </c>
    </row>
    <row r="2411" spans="1:3" x14ac:dyDescent="0.25">
      <c r="A2411" s="631" t="s">
        <v>2944</v>
      </c>
      <c r="B2411" s="632" t="s">
        <v>2945</v>
      </c>
      <c r="C2411" s="632">
        <v>1225</v>
      </c>
    </row>
    <row r="2412" spans="1:3" x14ac:dyDescent="0.25">
      <c r="A2412" s="631">
        <v>5264245</v>
      </c>
      <c r="B2412" s="632" t="s">
        <v>2946</v>
      </c>
      <c r="C2412" s="632">
        <v>1225</v>
      </c>
    </row>
    <row r="2413" spans="1:3" x14ac:dyDescent="0.25">
      <c r="A2413" s="631">
        <v>5264520</v>
      </c>
      <c r="B2413" s="632" t="s">
        <v>2947</v>
      </c>
      <c r="C2413" s="632">
        <v>1340</v>
      </c>
    </row>
    <row r="2414" spans="1:3" x14ac:dyDescent="0.25">
      <c r="A2414" s="631" t="s">
        <v>2948</v>
      </c>
      <c r="B2414" s="632" t="s">
        <v>2949</v>
      </c>
      <c r="C2414" s="632">
        <v>2374</v>
      </c>
    </row>
    <row r="2415" spans="1:3" x14ac:dyDescent="0.25">
      <c r="A2415" s="631">
        <v>5264525</v>
      </c>
      <c r="B2415" s="632" t="s">
        <v>2950</v>
      </c>
      <c r="C2415" s="632">
        <v>1225</v>
      </c>
    </row>
    <row r="2416" spans="1:3" x14ac:dyDescent="0.25">
      <c r="A2416" s="631" t="s">
        <v>2951</v>
      </c>
      <c r="B2416" s="632" t="s">
        <v>2952</v>
      </c>
      <c r="C2416" s="632">
        <v>2172</v>
      </c>
    </row>
    <row r="2417" spans="1:3" x14ac:dyDescent="0.25">
      <c r="A2417" s="631">
        <v>5264530</v>
      </c>
      <c r="B2417" s="632" t="s">
        <v>2953</v>
      </c>
      <c r="C2417" s="632">
        <v>1225</v>
      </c>
    </row>
    <row r="2418" spans="1:3" x14ac:dyDescent="0.25">
      <c r="A2418" s="631" t="s">
        <v>2954</v>
      </c>
      <c r="B2418" s="632" t="s">
        <v>2955</v>
      </c>
      <c r="C2418" s="632">
        <v>2172</v>
      </c>
    </row>
    <row r="2419" spans="1:3" x14ac:dyDescent="0.25">
      <c r="A2419" s="631" t="s">
        <v>2956</v>
      </c>
      <c r="B2419" s="632" t="s">
        <v>2957</v>
      </c>
      <c r="C2419" s="632">
        <v>2172</v>
      </c>
    </row>
    <row r="2420" spans="1:3" x14ac:dyDescent="0.25">
      <c r="A2420" s="631" t="s">
        <v>2958</v>
      </c>
      <c r="B2420" s="632" t="s">
        <v>2959</v>
      </c>
      <c r="C2420" s="632">
        <v>1225</v>
      </c>
    </row>
    <row r="2421" spans="1:3" x14ac:dyDescent="0.25">
      <c r="A2421" s="631">
        <v>5264535</v>
      </c>
      <c r="B2421" s="632" t="s">
        <v>2960</v>
      </c>
      <c r="C2421" s="632">
        <v>1225</v>
      </c>
    </row>
    <row r="2422" spans="1:3" x14ac:dyDescent="0.25">
      <c r="A2422" s="631" t="s">
        <v>2961</v>
      </c>
      <c r="B2422" s="632" t="s">
        <v>2962</v>
      </c>
      <c r="C2422" s="632">
        <v>2172</v>
      </c>
    </row>
    <row r="2423" spans="1:3" x14ac:dyDescent="0.25">
      <c r="A2423" s="631" t="s">
        <v>2963</v>
      </c>
      <c r="B2423" s="632" t="s">
        <v>2964</v>
      </c>
      <c r="C2423" s="632">
        <v>1929</v>
      </c>
    </row>
    <row r="2424" spans="1:3" x14ac:dyDescent="0.25">
      <c r="A2424" s="631" t="s">
        <v>2965</v>
      </c>
      <c r="B2424" s="632" t="s">
        <v>2966</v>
      </c>
      <c r="C2424" s="632">
        <v>1225</v>
      </c>
    </row>
    <row r="2425" spans="1:3" x14ac:dyDescent="0.25">
      <c r="A2425" s="631">
        <v>5264540</v>
      </c>
      <c r="B2425" s="632" t="s">
        <v>2967</v>
      </c>
      <c r="C2425" s="632">
        <v>1225</v>
      </c>
    </row>
    <row r="2426" spans="1:3" x14ac:dyDescent="0.25">
      <c r="A2426" s="631" t="s">
        <v>2968</v>
      </c>
      <c r="B2426" s="632" t="s">
        <v>2969</v>
      </c>
      <c r="C2426" s="632">
        <v>1225</v>
      </c>
    </row>
    <row r="2427" spans="1:3" x14ac:dyDescent="0.25">
      <c r="A2427" s="631">
        <v>5264545</v>
      </c>
      <c r="B2427" s="632" t="s">
        <v>2970</v>
      </c>
      <c r="C2427" s="632">
        <v>1225</v>
      </c>
    </row>
    <row r="2428" spans="1:3" x14ac:dyDescent="0.25">
      <c r="A2428" s="631">
        <v>5265025</v>
      </c>
      <c r="B2428" s="632" t="s">
        <v>2971</v>
      </c>
      <c r="C2428" s="632">
        <v>1225</v>
      </c>
    </row>
    <row r="2429" spans="1:3" x14ac:dyDescent="0.25">
      <c r="A2429" s="631">
        <v>5265030</v>
      </c>
      <c r="B2429" s="632" t="s">
        <v>2972</v>
      </c>
      <c r="C2429" s="632">
        <v>1225</v>
      </c>
    </row>
    <row r="2430" spans="1:3" x14ac:dyDescent="0.25">
      <c r="A2430" s="631">
        <v>5265035</v>
      </c>
      <c r="B2430" s="632" t="s">
        <v>2973</v>
      </c>
      <c r="C2430" s="632">
        <v>1225</v>
      </c>
    </row>
    <row r="2431" spans="1:3" x14ac:dyDescent="0.25">
      <c r="A2431" s="631" t="s">
        <v>2974</v>
      </c>
      <c r="B2431" s="632" t="s">
        <v>2975</v>
      </c>
      <c r="C2431" s="632">
        <v>1225</v>
      </c>
    </row>
    <row r="2432" spans="1:3" x14ac:dyDescent="0.25">
      <c r="A2432" s="631">
        <v>5265040</v>
      </c>
      <c r="B2432" s="632" t="s">
        <v>2976</v>
      </c>
      <c r="C2432" s="632">
        <v>1225</v>
      </c>
    </row>
    <row r="2433" spans="1:3" x14ac:dyDescent="0.25">
      <c r="A2433" s="631" t="s">
        <v>2977</v>
      </c>
      <c r="B2433" s="632" t="s">
        <v>2978</v>
      </c>
      <c r="C2433" s="632">
        <v>1225</v>
      </c>
    </row>
    <row r="2434" spans="1:3" x14ac:dyDescent="0.25">
      <c r="A2434" s="631">
        <v>5265045</v>
      </c>
      <c r="B2434" s="632" t="s">
        <v>2979</v>
      </c>
      <c r="C2434" s="632">
        <v>1225</v>
      </c>
    </row>
    <row r="2435" spans="1:3" x14ac:dyDescent="0.25">
      <c r="A2435" s="631" t="s">
        <v>2980</v>
      </c>
      <c r="B2435" s="632" t="s">
        <v>2981</v>
      </c>
      <c r="C2435" s="632">
        <v>0</v>
      </c>
    </row>
    <row r="2436" spans="1:3" x14ac:dyDescent="0.25">
      <c r="A2436" s="631">
        <v>5266127</v>
      </c>
      <c r="B2436" s="632" t="s">
        <v>2982</v>
      </c>
      <c r="C2436" s="632">
        <v>640</v>
      </c>
    </row>
    <row r="2437" spans="1:3" x14ac:dyDescent="0.25">
      <c r="A2437" s="631">
        <v>5266130</v>
      </c>
      <c r="B2437" s="632" t="s">
        <v>2983</v>
      </c>
      <c r="C2437" s="632">
        <v>585</v>
      </c>
    </row>
    <row r="2438" spans="1:3" x14ac:dyDescent="0.25">
      <c r="A2438" s="631">
        <v>5266133</v>
      </c>
      <c r="B2438" s="632" t="s">
        <v>2984</v>
      </c>
      <c r="C2438" s="632">
        <v>640</v>
      </c>
    </row>
    <row r="2439" spans="1:3" x14ac:dyDescent="0.25">
      <c r="A2439" s="631">
        <v>5266136</v>
      </c>
      <c r="B2439" s="632" t="s">
        <v>2985</v>
      </c>
      <c r="C2439" s="632">
        <v>585</v>
      </c>
    </row>
    <row r="2440" spans="1:3" x14ac:dyDescent="0.25">
      <c r="A2440" s="631">
        <v>5266139</v>
      </c>
      <c r="B2440" s="632" t="s">
        <v>2986</v>
      </c>
      <c r="C2440" s="632">
        <v>640</v>
      </c>
    </row>
    <row r="2441" spans="1:3" x14ac:dyDescent="0.25">
      <c r="A2441" s="631">
        <v>5266142</v>
      </c>
      <c r="B2441" s="632" t="s">
        <v>2987</v>
      </c>
      <c r="C2441" s="632">
        <v>640</v>
      </c>
    </row>
    <row r="2442" spans="1:3" x14ac:dyDescent="0.25">
      <c r="A2442" s="631">
        <v>5266145</v>
      </c>
      <c r="B2442" s="632" t="s">
        <v>2988</v>
      </c>
      <c r="C2442" s="632">
        <v>640</v>
      </c>
    </row>
    <row r="2443" spans="1:3" x14ac:dyDescent="0.25">
      <c r="A2443" s="631">
        <v>5266150</v>
      </c>
      <c r="B2443" s="632" t="s">
        <v>2989</v>
      </c>
      <c r="C2443" s="632">
        <v>585</v>
      </c>
    </row>
    <row r="2444" spans="1:3" x14ac:dyDescent="0.25">
      <c r="A2444" s="631">
        <v>5266233</v>
      </c>
      <c r="B2444" s="632" t="s">
        <v>2990</v>
      </c>
      <c r="C2444" s="632">
        <v>640</v>
      </c>
    </row>
    <row r="2445" spans="1:3" x14ac:dyDescent="0.25">
      <c r="A2445" s="631">
        <v>5266236</v>
      </c>
      <c r="B2445" s="632" t="s">
        <v>2991</v>
      </c>
      <c r="C2445" s="632">
        <v>640</v>
      </c>
    </row>
    <row r="2446" spans="1:3" x14ac:dyDescent="0.25">
      <c r="A2446" s="631">
        <v>5266239</v>
      </c>
      <c r="B2446" s="632" t="s">
        <v>2992</v>
      </c>
      <c r="C2446" s="632">
        <v>640</v>
      </c>
    </row>
    <row r="2447" spans="1:3" x14ac:dyDescent="0.25">
      <c r="A2447" s="631">
        <v>5266242</v>
      </c>
      <c r="B2447" s="632" t="s">
        <v>2993</v>
      </c>
      <c r="C2447" s="632">
        <v>640</v>
      </c>
    </row>
    <row r="2448" spans="1:3" x14ac:dyDescent="0.25">
      <c r="A2448" s="631">
        <v>5266245</v>
      </c>
      <c r="B2448" s="632" t="s">
        <v>2994</v>
      </c>
      <c r="C2448" s="632">
        <v>640</v>
      </c>
    </row>
    <row r="2449" spans="1:3" x14ac:dyDescent="0.25">
      <c r="A2449" s="631">
        <v>5266324</v>
      </c>
      <c r="B2449" s="632" t="s">
        <v>2995</v>
      </c>
      <c r="C2449" s="632">
        <v>546</v>
      </c>
    </row>
    <row r="2450" spans="1:3" x14ac:dyDescent="0.25">
      <c r="A2450" s="631">
        <v>5266327</v>
      </c>
      <c r="B2450" s="632" t="s">
        <v>2996</v>
      </c>
      <c r="C2450" s="632">
        <v>546</v>
      </c>
    </row>
    <row r="2451" spans="1:3" x14ac:dyDescent="0.25">
      <c r="A2451" s="631">
        <v>5266330</v>
      </c>
      <c r="B2451" s="632" t="s">
        <v>2997</v>
      </c>
      <c r="C2451" s="632">
        <v>546</v>
      </c>
    </row>
    <row r="2452" spans="1:3" x14ac:dyDescent="0.25">
      <c r="A2452" s="631">
        <v>5266333</v>
      </c>
      <c r="B2452" s="632" t="s">
        <v>2998</v>
      </c>
      <c r="C2452" s="632">
        <v>546</v>
      </c>
    </row>
    <row r="2453" spans="1:3" x14ac:dyDescent="0.25">
      <c r="A2453" s="631">
        <v>5272420</v>
      </c>
      <c r="B2453" s="632" t="s">
        <v>2999</v>
      </c>
      <c r="C2453" s="632">
        <v>872</v>
      </c>
    </row>
    <row r="2454" spans="1:3" x14ac:dyDescent="0.25">
      <c r="A2454" s="631">
        <v>5272425</v>
      </c>
      <c r="B2454" s="632" t="s">
        <v>3000</v>
      </c>
      <c r="C2454" s="632">
        <v>872</v>
      </c>
    </row>
    <row r="2455" spans="1:3" x14ac:dyDescent="0.25">
      <c r="A2455" s="631">
        <v>5272720</v>
      </c>
      <c r="B2455" s="632" t="s">
        <v>3001</v>
      </c>
      <c r="C2455" s="632">
        <v>872</v>
      </c>
    </row>
    <row r="2456" spans="1:3" x14ac:dyDescent="0.25">
      <c r="A2456" s="631">
        <v>5272725</v>
      </c>
      <c r="B2456" s="632" t="s">
        <v>3002</v>
      </c>
      <c r="C2456" s="632">
        <v>872</v>
      </c>
    </row>
    <row r="2457" spans="1:3" x14ac:dyDescent="0.25">
      <c r="A2457" s="631">
        <v>5272737</v>
      </c>
      <c r="B2457" s="632" t="s">
        <v>3003</v>
      </c>
      <c r="C2457" s="632">
        <v>150</v>
      </c>
    </row>
    <row r="2458" spans="1:3" x14ac:dyDescent="0.25">
      <c r="A2458" s="631">
        <v>5273025</v>
      </c>
      <c r="B2458" s="632" t="s">
        <v>3004</v>
      </c>
      <c r="C2458" s="632">
        <v>872</v>
      </c>
    </row>
    <row r="2459" spans="1:3" x14ac:dyDescent="0.25">
      <c r="A2459" s="631">
        <v>5273030</v>
      </c>
      <c r="B2459" s="632" t="s">
        <v>3005</v>
      </c>
      <c r="C2459" s="632">
        <v>916</v>
      </c>
    </row>
    <row r="2460" spans="1:3" x14ac:dyDescent="0.25">
      <c r="A2460" s="631">
        <v>5273035</v>
      </c>
      <c r="B2460" s="632" t="s">
        <v>3006</v>
      </c>
      <c r="C2460" s="632">
        <v>916</v>
      </c>
    </row>
    <row r="2461" spans="1:3" x14ac:dyDescent="0.25">
      <c r="A2461" s="631">
        <v>5273037</v>
      </c>
      <c r="B2461" s="632" t="s">
        <v>3007</v>
      </c>
      <c r="C2461" s="632">
        <v>150</v>
      </c>
    </row>
    <row r="2462" spans="1:3" x14ac:dyDescent="0.25">
      <c r="A2462" s="631">
        <v>5273038</v>
      </c>
      <c r="B2462" s="632" t="s">
        <v>3008</v>
      </c>
      <c r="C2462" s="632">
        <v>1084</v>
      </c>
    </row>
    <row r="2463" spans="1:3" x14ac:dyDescent="0.25">
      <c r="A2463" s="631">
        <v>5273040</v>
      </c>
      <c r="B2463" s="632" t="s">
        <v>3009</v>
      </c>
      <c r="C2463" s="632">
        <v>916</v>
      </c>
    </row>
    <row r="2464" spans="1:3" x14ac:dyDescent="0.25">
      <c r="A2464" s="631">
        <v>5273314</v>
      </c>
      <c r="B2464" s="632" t="s">
        <v>3010</v>
      </c>
      <c r="C2464" s="632">
        <v>1110</v>
      </c>
    </row>
    <row r="2465" spans="1:3" x14ac:dyDescent="0.25">
      <c r="A2465" s="631">
        <v>5273325</v>
      </c>
      <c r="B2465" s="632" t="s">
        <v>3011</v>
      </c>
      <c r="C2465" s="632">
        <v>872</v>
      </c>
    </row>
    <row r="2466" spans="1:3" x14ac:dyDescent="0.25">
      <c r="A2466" s="631">
        <v>5273330</v>
      </c>
      <c r="B2466" s="632" t="s">
        <v>3012</v>
      </c>
      <c r="C2466" s="632">
        <v>916</v>
      </c>
    </row>
    <row r="2467" spans="1:3" x14ac:dyDescent="0.25">
      <c r="A2467" s="631">
        <v>5273335</v>
      </c>
      <c r="B2467" s="632" t="s">
        <v>3013</v>
      </c>
      <c r="C2467" s="632">
        <v>916</v>
      </c>
    </row>
    <row r="2468" spans="1:3" x14ac:dyDescent="0.25">
      <c r="A2468" s="631">
        <v>5273337</v>
      </c>
      <c r="B2468" s="632" t="s">
        <v>3014</v>
      </c>
      <c r="C2468" s="632">
        <v>175</v>
      </c>
    </row>
    <row r="2469" spans="1:3" x14ac:dyDescent="0.25">
      <c r="A2469" s="631">
        <v>5273338</v>
      </c>
      <c r="B2469" s="632" t="s">
        <v>3015</v>
      </c>
      <c r="C2469" s="632">
        <v>1084</v>
      </c>
    </row>
    <row r="2470" spans="1:3" x14ac:dyDescent="0.25">
      <c r="A2470" s="631">
        <v>5273340</v>
      </c>
      <c r="B2470" s="632" t="s">
        <v>3016</v>
      </c>
      <c r="C2470" s="632">
        <v>916</v>
      </c>
    </row>
    <row r="2471" spans="1:3" x14ac:dyDescent="0.25">
      <c r="A2471" s="631">
        <v>5273345</v>
      </c>
      <c r="B2471" s="632" t="s">
        <v>3017</v>
      </c>
      <c r="C2471" s="632">
        <v>813</v>
      </c>
    </row>
    <row r="2472" spans="1:3" x14ac:dyDescent="0.25">
      <c r="A2472" s="631">
        <v>5273614</v>
      </c>
      <c r="B2472" s="632" t="s">
        <v>3018</v>
      </c>
      <c r="C2472" s="632">
        <v>1110</v>
      </c>
    </row>
    <row r="2473" spans="1:3" x14ac:dyDescent="0.25">
      <c r="A2473" s="631">
        <v>5273630</v>
      </c>
      <c r="B2473" s="632" t="s">
        <v>3019</v>
      </c>
      <c r="C2473" s="632">
        <v>916</v>
      </c>
    </row>
    <row r="2474" spans="1:3" x14ac:dyDescent="0.25">
      <c r="A2474" s="631">
        <v>5273635</v>
      </c>
      <c r="B2474" s="632" t="s">
        <v>3020</v>
      </c>
      <c r="C2474" s="632">
        <v>916</v>
      </c>
    </row>
    <row r="2475" spans="1:3" x14ac:dyDescent="0.25">
      <c r="A2475" s="631">
        <v>5273637</v>
      </c>
      <c r="B2475" s="632" t="s">
        <v>3021</v>
      </c>
      <c r="C2475" s="632">
        <v>175</v>
      </c>
    </row>
    <row r="2476" spans="1:3" x14ac:dyDescent="0.25">
      <c r="A2476" s="631">
        <v>5273638</v>
      </c>
      <c r="B2476" s="632" t="s">
        <v>3022</v>
      </c>
      <c r="C2476" s="632">
        <v>1084</v>
      </c>
    </row>
    <row r="2477" spans="1:3" x14ac:dyDescent="0.25">
      <c r="A2477" s="631">
        <v>5273640</v>
      </c>
      <c r="B2477" s="632" t="s">
        <v>3023</v>
      </c>
      <c r="C2477" s="632">
        <v>916</v>
      </c>
    </row>
    <row r="2478" spans="1:3" x14ac:dyDescent="0.25">
      <c r="A2478" s="631">
        <v>5273645</v>
      </c>
      <c r="B2478" s="632" t="s">
        <v>3024</v>
      </c>
      <c r="C2478" s="632">
        <v>916</v>
      </c>
    </row>
    <row r="2479" spans="1:3" x14ac:dyDescent="0.25">
      <c r="A2479" s="631">
        <v>5273914</v>
      </c>
      <c r="B2479" s="632" t="s">
        <v>3025</v>
      </c>
      <c r="C2479" s="632">
        <v>1110</v>
      </c>
    </row>
    <row r="2480" spans="1:3" x14ac:dyDescent="0.25">
      <c r="A2480" s="631">
        <v>5273930</v>
      </c>
      <c r="B2480" s="632" t="s">
        <v>3026</v>
      </c>
      <c r="C2480" s="632">
        <v>916</v>
      </c>
    </row>
    <row r="2481" spans="1:3" x14ac:dyDescent="0.25">
      <c r="A2481" s="631">
        <v>5273935</v>
      </c>
      <c r="B2481" s="632" t="s">
        <v>3027</v>
      </c>
      <c r="C2481" s="632">
        <v>916</v>
      </c>
    </row>
    <row r="2482" spans="1:3" x14ac:dyDescent="0.25">
      <c r="A2482" s="631">
        <v>5273937</v>
      </c>
      <c r="B2482" s="632" t="s">
        <v>3028</v>
      </c>
      <c r="C2482" s="632">
        <v>175</v>
      </c>
    </row>
    <row r="2483" spans="1:3" x14ac:dyDescent="0.25">
      <c r="A2483" s="631">
        <v>5273938</v>
      </c>
      <c r="B2483" s="632" t="s">
        <v>3029</v>
      </c>
      <c r="C2483" s="632">
        <v>1084</v>
      </c>
    </row>
    <row r="2484" spans="1:3" x14ac:dyDescent="0.25">
      <c r="A2484" s="631">
        <v>5273940</v>
      </c>
      <c r="B2484" s="632" t="s">
        <v>3030</v>
      </c>
      <c r="C2484" s="632">
        <v>916</v>
      </c>
    </row>
    <row r="2485" spans="1:3" x14ac:dyDescent="0.25">
      <c r="A2485" s="631">
        <v>5273945</v>
      </c>
      <c r="B2485" s="632" t="s">
        <v>3031</v>
      </c>
      <c r="C2485" s="632">
        <v>916</v>
      </c>
    </row>
    <row r="2486" spans="1:3" x14ac:dyDescent="0.25">
      <c r="A2486" s="631">
        <v>5274214</v>
      </c>
      <c r="B2486" s="632" t="s">
        <v>3032</v>
      </c>
      <c r="C2486" s="632">
        <v>1110</v>
      </c>
    </row>
    <row r="2487" spans="1:3" x14ac:dyDescent="0.25">
      <c r="A2487" s="631">
        <v>5274230</v>
      </c>
      <c r="B2487" s="632" t="s">
        <v>3033</v>
      </c>
      <c r="C2487" s="632">
        <v>916</v>
      </c>
    </row>
    <row r="2488" spans="1:3" x14ac:dyDescent="0.25">
      <c r="A2488" s="631">
        <v>5274235</v>
      </c>
      <c r="B2488" s="632" t="s">
        <v>3034</v>
      </c>
      <c r="C2488" s="632">
        <v>916</v>
      </c>
    </row>
    <row r="2489" spans="1:3" x14ac:dyDescent="0.25">
      <c r="A2489" s="631">
        <v>5274237</v>
      </c>
      <c r="B2489" s="632" t="s">
        <v>3035</v>
      </c>
      <c r="C2489" s="632">
        <v>175</v>
      </c>
    </row>
    <row r="2490" spans="1:3" x14ac:dyDescent="0.25">
      <c r="A2490" s="631">
        <v>5274238</v>
      </c>
      <c r="B2490" s="632" t="s">
        <v>3036</v>
      </c>
      <c r="C2490" s="632">
        <v>1084</v>
      </c>
    </row>
    <row r="2491" spans="1:3" x14ac:dyDescent="0.25">
      <c r="A2491" s="631">
        <v>5274240</v>
      </c>
      <c r="B2491" s="632" t="s">
        <v>3037</v>
      </c>
      <c r="C2491" s="632">
        <v>916</v>
      </c>
    </row>
    <row r="2492" spans="1:3" x14ac:dyDescent="0.25">
      <c r="A2492" s="631">
        <v>5274245</v>
      </c>
      <c r="B2492" s="632" t="s">
        <v>3038</v>
      </c>
      <c r="C2492" s="632">
        <v>916</v>
      </c>
    </row>
    <row r="2493" spans="1:3" x14ac:dyDescent="0.25">
      <c r="A2493" s="631">
        <v>5274514</v>
      </c>
      <c r="B2493" s="632" t="s">
        <v>3039</v>
      </c>
      <c r="C2493" s="632">
        <v>1110</v>
      </c>
    </row>
    <row r="2494" spans="1:3" x14ac:dyDescent="0.25">
      <c r="A2494" s="631">
        <v>5274530</v>
      </c>
      <c r="B2494" s="632" t="s">
        <v>3040</v>
      </c>
      <c r="C2494" s="632">
        <v>2080</v>
      </c>
    </row>
    <row r="2495" spans="1:3" x14ac:dyDescent="0.25">
      <c r="A2495" s="631">
        <v>5274535</v>
      </c>
      <c r="B2495" s="632" t="s">
        <v>3041</v>
      </c>
      <c r="C2495" s="632">
        <v>916</v>
      </c>
    </row>
    <row r="2496" spans="1:3" x14ac:dyDescent="0.25">
      <c r="A2496" s="631">
        <v>5274537</v>
      </c>
      <c r="B2496" s="632" t="s">
        <v>3042</v>
      </c>
      <c r="C2496" s="632">
        <v>175</v>
      </c>
    </row>
    <row r="2497" spans="1:3" x14ac:dyDescent="0.25">
      <c r="A2497" s="631">
        <v>5274540</v>
      </c>
      <c r="B2497" s="632" t="s">
        <v>3043</v>
      </c>
      <c r="C2497" s="632">
        <v>916</v>
      </c>
    </row>
    <row r="2498" spans="1:3" x14ac:dyDescent="0.25">
      <c r="A2498" s="631">
        <v>5274545</v>
      </c>
      <c r="B2498" s="632" t="s">
        <v>3044</v>
      </c>
      <c r="C2498" s="632">
        <v>916</v>
      </c>
    </row>
    <row r="2499" spans="1:3" x14ac:dyDescent="0.25">
      <c r="A2499" s="631">
        <v>5275040</v>
      </c>
      <c r="B2499" s="632" t="s">
        <v>3045</v>
      </c>
      <c r="C2499" s="632">
        <v>916</v>
      </c>
    </row>
    <row r="2500" spans="1:3" x14ac:dyDescent="0.25">
      <c r="A2500" s="631">
        <v>5275045</v>
      </c>
      <c r="B2500" s="632" t="s">
        <v>3046</v>
      </c>
      <c r="C2500" s="632">
        <v>916</v>
      </c>
    </row>
    <row r="2501" spans="1:3" x14ac:dyDescent="0.25">
      <c r="A2501" s="631">
        <v>5292415</v>
      </c>
      <c r="B2501" s="632" t="s">
        <v>3047</v>
      </c>
      <c r="C2501" s="632">
        <v>798</v>
      </c>
    </row>
    <row r="2502" spans="1:3" x14ac:dyDescent="0.25">
      <c r="A2502" s="631">
        <v>5292420</v>
      </c>
      <c r="B2502" s="632" t="s">
        <v>3048</v>
      </c>
      <c r="C2502" s="632">
        <v>1035</v>
      </c>
    </row>
    <row r="2503" spans="1:3" x14ac:dyDescent="0.25">
      <c r="A2503" s="631">
        <v>5292421</v>
      </c>
      <c r="B2503" s="632" t="s">
        <v>3049</v>
      </c>
      <c r="C2503" s="632">
        <v>798</v>
      </c>
    </row>
    <row r="2504" spans="1:3" x14ac:dyDescent="0.25">
      <c r="A2504" s="631">
        <v>5292425</v>
      </c>
      <c r="B2504" s="632" t="s">
        <v>3050</v>
      </c>
      <c r="C2504" s="632">
        <v>1035</v>
      </c>
    </row>
    <row r="2505" spans="1:3" x14ac:dyDescent="0.25">
      <c r="A2505" s="631">
        <v>5292715</v>
      </c>
      <c r="B2505" s="632" t="s">
        <v>3051</v>
      </c>
      <c r="C2505" s="632">
        <v>798</v>
      </c>
    </row>
    <row r="2506" spans="1:3" x14ac:dyDescent="0.25">
      <c r="A2506" s="631">
        <v>5292720</v>
      </c>
      <c r="B2506" s="632" t="s">
        <v>3052</v>
      </c>
      <c r="C2506" s="632">
        <v>1035</v>
      </c>
    </row>
    <row r="2507" spans="1:3" x14ac:dyDescent="0.25">
      <c r="A2507" s="631">
        <v>5292721</v>
      </c>
      <c r="B2507" s="632" t="s">
        <v>3053</v>
      </c>
      <c r="C2507" s="632">
        <v>798</v>
      </c>
    </row>
    <row r="2508" spans="1:3" x14ac:dyDescent="0.25">
      <c r="A2508" s="631">
        <v>5292725</v>
      </c>
      <c r="B2508" s="632" t="s">
        <v>3054</v>
      </c>
      <c r="C2508" s="632">
        <v>1035</v>
      </c>
    </row>
    <row r="2509" spans="1:3" x14ac:dyDescent="0.25">
      <c r="A2509" s="631">
        <v>5292730</v>
      </c>
      <c r="B2509" s="632" t="s">
        <v>3055</v>
      </c>
      <c r="C2509" s="632">
        <v>916</v>
      </c>
    </row>
    <row r="2510" spans="1:3" x14ac:dyDescent="0.25">
      <c r="A2510" s="631">
        <v>5293025</v>
      </c>
      <c r="B2510" s="632" t="s">
        <v>3056</v>
      </c>
      <c r="C2510" s="632">
        <v>1035</v>
      </c>
    </row>
    <row r="2511" spans="1:3" x14ac:dyDescent="0.25">
      <c r="A2511" s="631">
        <v>5293030</v>
      </c>
      <c r="B2511" s="632" t="s">
        <v>3057</v>
      </c>
      <c r="C2511" s="632">
        <v>1001</v>
      </c>
    </row>
    <row r="2512" spans="1:3" x14ac:dyDescent="0.25">
      <c r="A2512" s="631">
        <v>5293325</v>
      </c>
      <c r="B2512" s="632" t="s">
        <v>3058</v>
      </c>
      <c r="C2512" s="632">
        <v>1035</v>
      </c>
    </row>
    <row r="2513" spans="1:3" x14ac:dyDescent="0.25">
      <c r="A2513" s="631">
        <v>5293330</v>
      </c>
      <c r="B2513" s="632" t="s">
        <v>3059</v>
      </c>
      <c r="C2513" s="632">
        <v>813</v>
      </c>
    </row>
    <row r="2514" spans="1:3" x14ac:dyDescent="0.25">
      <c r="A2514" s="631">
        <v>5362417</v>
      </c>
      <c r="B2514" s="632" t="s">
        <v>3060</v>
      </c>
      <c r="C2514" s="632">
        <v>1305</v>
      </c>
    </row>
    <row r="2515" spans="1:3" x14ac:dyDescent="0.25">
      <c r="A2515" s="631" t="s">
        <v>3061</v>
      </c>
      <c r="B2515" s="632" t="s">
        <v>3062</v>
      </c>
      <c r="C2515" s="632">
        <v>1305</v>
      </c>
    </row>
    <row r="2516" spans="1:3" x14ac:dyDescent="0.25">
      <c r="A2516" s="631">
        <v>5362717</v>
      </c>
      <c r="B2516" s="632" t="s">
        <v>3063</v>
      </c>
      <c r="C2516" s="632">
        <v>1305</v>
      </c>
    </row>
    <row r="2517" spans="1:3" x14ac:dyDescent="0.25">
      <c r="A2517" s="631" t="s">
        <v>3064</v>
      </c>
      <c r="B2517" s="632" t="s">
        <v>3065</v>
      </c>
      <c r="C2517" s="632">
        <v>1305</v>
      </c>
    </row>
    <row r="2518" spans="1:3" x14ac:dyDescent="0.25">
      <c r="A2518" s="631">
        <v>5363340</v>
      </c>
      <c r="B2518" s="632" t="s">
        <v>3066</v>
      </c>
      <c r="C2518" s="632">
        <v>0</v>
      </c>
    </row>
    <row r="2519" spans="1:3" x14ac:dyDescent="0.25">
      <c r="A2519" s="631">
        <v>5363345</v>
      </c>
      <c r="B2519" s="632" t="s">
        <v>3067</v>
      </c>
      <c r="C2519" s="632">
        <v>0</v>
      </c>
    </row>
    <row r="2520" spans="1:3" x14ac:dyDescent="0.25">
      <c r="A2520" s="631">
        <v>5363620</v>
      </c>
      <c r="B2520" s="632" t="s">
        <v>3068</v>
      </c>
      <c r="C2520" s="632">
        <v>0</v>
      </c>
    </row>
    <row r="2521" spans="1:3" x14ac:dyDescent="0.25">
      <c r="A2521" s="631" t="s">
        <v>3069</v>
      </c>
      <c r="B2521" s="632" t="s">
        <v>3070</v>
      </c>
      <c r="C2521" s="632">
        <v>0</v>
      </c>
    </row>
    <row r="2522" spans="1:3" x14ac:dyDescent="0.25">
      <c r="A2522" s="631">
        <v>5363625</v>
      </c>
      <c r="B2522" s="632" t="s">
        <v>3071</v>
      </c>
      <c r="C2522" s="632">
        <v>0</v>
      </c>
    </row>
    <row r="2523" spans="1:3" x14ac:dyDescent="0.25">
      <c r="A2523" s="631" t="s">
        <v>3072</v>
      </c>
      <c r="B2523" s="632" t="s">
        <v>3073</v>
      </c>
      <c r="C2523" s="632">
        <v>0</v>
      </c>
    </row>
    <row r="2524" spans="1:3" x14ac:dyDescent="0.25">
      <c r="A2524" s="631">
        <v>5363630</v>
      </c>
      <c r="B2524" s="632" t="s">
        <v>3074</v>
      </c>
      <c r="C2524" s="632">
        <v>0</v>
      </c>
    </row>
    <row r="2525" spans="1:3" x14ac:dyDescent="0.25">
      <c r="A2525" s="631" t="s">
        <v>3075</v>
      </c>
      <c r="B2525" s="632" t="s">
        <v>3076</v>
      </c>
      <c r="C2525" s="632">
        <v>0</v>
      </c>
    </row>
    <row r="2526" spans="1:3" x14ac:dyDescent="0.25">
      <c r="A2526" s="631">
        <v>5363635</v>
      </c>
      <c r="B2526" s="632" t="s">
        <v>3077</v>
      </c>
      <c r="C2526" s="632">
        <v>0</v>
      </c>
    </row>
    <row r="2527" spans="1:3" x14ac:dyDescent="0.25">
      <c r="A2527" s="631" t="s">
        <v>3078</v>
      </c>
      <c r="B2527" s="632" t="s">
        <v>3079</v>
      </c>
      <c r="C2527" s="632">
        <v>0</v>
      </c>
    </row>
    <row r="2528" spans="1:3" x14ac:dyDescent="0.25">
      <c r="A2528" s="631">
        <v>5363640</v>
      </c>
      <c r="B2528" s="632" t="s">
        <v>3080</v>
      </c>
      <c r="C2528" s="632">
        <v>0</v>
      </c>
    </row>
    <row r="2529" spans="1:3" x14ac:dyDescent="0.25">
      <c r="A2529" s="631">
        <v>5363645</v>
      </c>
      <c r="B2529" s="632" t="s">
        <v>3081</v>
      </c>
      <c r="C2529" s="632">
        <v>0</v>
      </c>
    </row>
    <row r="2530" spans="1:3" x14ac:dyDescent="0.25">
      <c r="A2530" s="631">
        <v>5363920</v>
      </c>
      <c r="B2530" s="632" t="s">
        <v>3082</v>
      </c>
      <c r="C2530" s="632">
        <v>0</v>
      </c>
    </row>
    <row r="2531" spans="1:3" x14ac:dyDescent="0.25">
      <c r="A2531" s="631" t="s">
        <v>3083</v>
      </c>
      <c r="B2531" s="632" t="s">
        <v>3084</v>
      </c>
      <c r="C2531" s="632">
        <v>0</v>
      </c>
    </row>
    <row r="2532" spans="1:3" x14ac:dyDescent="0.25">
      <c r="A2532" s="631">
        <v>5363925</v>
      </c>
      <c r="B2532" s="632" t="s">
        <v>3085</v>
      </c>
      <c r="C2532" s="632">
        <v>0</v>
      </c>
    </row>
    <row r="2533" spans="1:3" x14ac:dyDescent="0.25">
      <c r="A2533" s="631" t="s">
        <v>3086</v>
      </c>
      <c r="B2533" s="632" t="s">
        <v>3087</v>
      </c>
      <c r="C2533" s="632">
        <v>0</v>
      </c>
    </row>
    <row r="2534" spans="1:3" x14ac:dyDescent="0.25">
      <c r="A2534" s="631">
        <v>5363930</v>
      </c>
      <c r="B2534" s="632" t="s">
        <v>3088</v>
      </c>
      <c r="C2534" s="632">
        <v>0</v>
      </c>
    </row>
    <row r="2535" spans="1:3" x14ac:dyDescent="0.25">
      <c r="A2535" s="631" t="s">
        <v>3089</v>
      </c>
      <c r="B2535" s="632" t="s">
        <v>3090</v>
      </c>
      <c r="C2535" s="632">
        <v>0</v>
      </c>
    </row>
    <row r="2536" spans="1:3" x14ac:dyDescent="0.25">
      <c r="A2536" s="631">
        <v>5363935</v>
      </c>
      <c r="B2536" s="632" t="s">
        <v>3091</v>
      </c>
      <c r="C2536" s="632">
        <v>881</v>
      </c>
    </row>
    <row r="2537" spans="1:3" x14ac:dyDescent="0.25">
      <c r="A2537" s="631" t="s">
        <v>3092</v>
      </c>
      <c r="B2537" s="632" t="s">
        <v>3093</v>
      </c>
      <c r="C2537" s="632">
        <v>1560</v>
      </c>
    </row>
    <row r="2538" spans="1:3" x14ac:dyDescent="0.25">
      <c r="A2538" s="631">
        <v>5363940</v>
      </c>
      <c r="B2538" s="632" t="s">
        <v>3094</v>
      </c>
      <c r="C2538" s="632">
        <v>0</v>
      </c>
    </row>
    <row r="2539" spans="1:3" x14ac:dyDescent="0.25">
      <c r="A2539" s="631">
        <v>5363945</v>
      </c>
      <c r="B2539" s="632" t="s">
        <v>3095</v>
      </c>
      <c r="C2539" s="632">
        <v>0</v>
      </c>
    </row>
    <row r="2540" spans="1:3" x14ac:dyDescent="0.25">
      <c r="A2540" s="631">
        <v>5364220</v>
      </c>
      <c r="B2540" s="632" t="s">
        <v>3096</v>
      </c>
      <c r="C2540" s="632">
        <v>0</v>
      </c>
    </row>
    <row r="2541" spans="1:3" x14ac:dyDescent="0.25">
      <c r="A2541" s="631" t="s">
        <v>3097</v>
      </c>
      <c r="B2541" s="632" t="s">
        <v>3098</v>
      </c>
      <c r="C2541" s="632">
        <v>0</v>
      </c>
    </row>
    <row r="2542" spans="1:3" x14ac:dyDescent="0.25">
      <c r="A2542" s="631">
        <v>5364225</v>
      </c>
      <c r="B2542" s="632" t="s">
        <v>3099</v>
      </c>
      <c r="C2542" s="632">
        <v>0</v>
      </c>
    </row>
    <row r="2543" spans="1:3" x14ac:dyDescent="0.25">
      <c r="A2543" s="631" t="s">
        <v>3100</v>
      </c>
      <c r="B2543" s="632" t="s">
        <v>3101</v>
      </c>
      <c r="C2543" s="632">
        <v>0</v>
      </c>
    </row>
    <row r="2544" spans="1:3" x14ac:dyDescent="0.25">
      <c r="A2544" s="631">
        <v>5364230</v>
      </c>
      <c r="B2544" s="632" t="s">
        <v>3102</v>
      </c>
      <c r="C2544" s="632">
        <v>0</v>
      </c>
    </row>
    <row r="2545" spans="1:3" x14ac:dyDescent="0.25">
      <c r="A2545" s="631" t="s">
        <v>3103</v>
      </c>
      <c r="B2545" s="632" t="s">
        <v>3104</v>
      </c>
      <c r="C2545" s="632">
        <v>0</v>
      </c>
    </row>
    <row r="2546" spans="1:3" x14ac:dyDescent="0.25">
      <c r="A2546" s="631">
        <v>5364235</v>
      </c>
      <c r="B2546" s="632" t="s">
        <v>3105</v>
      </c>
      <c r="C2546" s="632">
        <v>0</v>
      </c>
    </row>
    <row r="2547" spans="1:3" x14ac:dyDescent="0.25">
      <c r="A2547" s="631" t="s">
        <v>3106</v>
      </c>
      <c r="B2547" s="632" t="s">
        <v>3107</v>
      </c>
      <c r="C2547" s="632">
        <v>0</v>
      </c>
    </row>
    <row r="2548" spans="1:3" x14ac:dyDescent="0.25">
      <c r="A2548" s="631">
        <v>5364240</v>
      </c>
      <c r="B2548" s="632" t="s">
        <v>3108</v>
      </c>
      <c r="C2548" s="632">
        <v>0</v>
      </c>
    </row>
    <row r="2549" spans="1:3" x14ac:dyDescent="0.25">
      <c r="A2549" s="631">
        <v>5364245</v>
      </c>
      <c r="B2549" s="632" t="s">
        <v>3109</v>
      </c>
      <c r="C2549" s="632">
        <v>0</v>
      </c>
    </row>
    <row r="2550" spans="1:3" x14ac:dyDescent="0.25">
      <c r="A2550" s="631">
        <v>5364520</v>
      </c>
      <c r="B2550" s="632" t="s">
        <v>3110</v>
      </c>
      <c r="C2550" s="632">
        <v>0</v>
      </c>
    </row>
    <row r="2551" spans="1:3" x14ac:dyDescent="0.25">
      <c r="A2551" s="631" t="s">
        <v>3111</v>
      </c>
      <c r="B2551" s="632" t="s">
        <v>3112</v>
      </c>
      <c r="C2551" s="632">
        <v>0</v>
      </c>
    </row>
    <row r="2552" spans="1:3" x14ac:dyDescent="0.25">
      <c r="A2552" s="631">
        <v>5364525</v>
      </c>
      <c r="B2552" s="632" t="s">
        <v>3113</v>
      </c>
      <c r="C2552" s="632">
        <v>0</v>
      </c>
    </row>
    <row r="2553" spans="1:3" x14ac:dyDescent="0.25">
      <c r="A2553" s="631" t="s">
        <v>3114</v>
      </c>
      <c r="B2553" s="632" t="s">
        <v>3115</v>
      </c>
      <c r="C2553" s="632">
        <v>0</v>
      </c>
    </row>
    <row r="2554" spans="1:3" x14ac:dyDescent="0.25">
      <c r="A2554" s="631">
        <v>5364530</v>
      </c>
      <c r="B2554" s="632" t="s">
        <v>3116</v>
      </c>
      <c r="C2554" s="632">
        <v>0</v>
      </c>
    </row>
    <row r="2555" spans="1:3" x14ac:dyDescent="0.25">
      <c r="A2555" s="631" t="s">
        <v>3117</v>
      </c>
      <c r="B2555" s="632" t="s">
        <v>3118</v>
      </c>
      <c r="C2555" s="632">
        <v>0</v>
      </c>
    </row>
    <row r="2556" spans="1:3" x14ac:dyDescent="0.25">
      <c r="A2556" s="631">
        <v>5364535</v>
      </c>
      <c r="B2556" s="632" t="s">
        <v>3119</v>
      </c>
      <c r="C2556" s="632">
        <v>0</v>
      </c>
    </row>
    <row r="2557" spans="1:3" x14ac:dyDescent="0.25">
      <c r="A2557" s="631" t="s">
        <v>3120</v>
      </c>
      <c r="B2557" s="632" t="s">
        <v>3121</v>
      </c>
      <c r="C2557" s="632">
        <v>0</v>
      </c>
    </row>
    <row r="2558" spans="1:3" x14ac:dyDescent="0.25">
      <c r="A2558" s="631">
        <v>5364540</v>
      </c>
      <c r="B2558" s="632" t="s">
        <v>3122</v>
      </c>
      <c r="C2558" s="632">
        <v>0</v>
      </c>
    </row>
    <row r="2559" spans="1:3" x14ac:dyDescent="0.25">
      <c r="A2559" s="631">
        <v>5364545</v>
      </c>
      <c r="B2559" s="632" t="s">
        <v>3123</v>
      </c>
      <c r="C2559" s="632">
        <v>0</v>
      </c>
    </row>
    <row r="2560" spans="1:3" x14ac:dyDescent="0.25">
      <c r="A2560" s="631">
        <v>5365025</v>
      </c>
      <c r="B2560" s="632" t="s">
        <v>3124</v>
      </c>
      <c r="C2560" s="632">
        <v>0</v>
      </c>
    </row>
    <row r="2561" spans="1:3" x14ac:dyDescent="0.25">
      <c r="A2561" s="631">
        <v>5365030</v>
      </c>
      <c r="B2561" s="632" t="s">
        <v>3125</v>
      </c>
      <c r="C2561" s="632">
        <v>0</v>
      </c>
    </row>
    <row r="2562" spans="1:3" x14ac:dyDescent="0.25">
      <c r="A2562" s="631">
        <v>5365035</v>
      </c>
      <c r="B2562" s="632" t="s">
        <v>3126</v>
      </c>
      <c r="C2562" s="632">
        <v>0</v>
      </c>
    </row>
    <row r="2563" spans="1:3" x14ac:dyDescent="0.25">
      <c r="A2563" s="631">
        <v>5365040</v>
      </c>
      <c r="B2563" s="632" t="s">
        <v>3127</v>
      </c>
      <c r="C2563" s="632">
        <v>0</v>
      </c>
    </row>
    <row r="2564" spans="1:3" x14ac:dyDescent="0.25">
      <c r="A2564" s="631">
        <v>5365045</v>
      </c>
      <c r="B2564" s="632" t="s">
        <v>3128</v>
      </c>
      <c r="C2564" s="632">
        <v>0</v>
      </c>
    </row>
    <row r="2565" spans="1:3" x14ac:dyDescent="0.25">
      <c r="A2565" s="631">
        <v>5380324</v>
      </c>
      <c r="B2565" s="632" t="s">
        <v>3129</v>
      </c>
      <c r="C2565" s="632">
        <v>163</v>
      </c>
    </row>
    <row r="2566" spans="1:3" x14ac:dyDescent="0.25">
      <c r="A2566" s="631">
        <v>5380327</v>
      </c>
      <c r="B2566" s="632" t="s">
        <v>3130</v>
      </c>
      <c r="C2566" s="632">
        <v>163</v>
      </c>
    </row>
    <row r="2567" spans="1:3" x14ac:dyDescent="0.25">
      <c r="A2567" s="631">
        <v>5380330</v>
      </c>
      <c r="B2567" s="632" t="s">
        <v>3131</v>
      </c>
      <c r="C2567" s="632">
        <v>163</v>
      </c>
    </row>
    <row r="2568" spans="1:3" x14ac:dyDescent="0.25">
      <c r="A2568" s="631">
        <v>5380333</v>
      </c>
      <c r="B2568" s="632" t="s">
        <v>3132</v>
      </c>
      <c r="C2568" s="632">
        <v>163</v>
      </c>
    </row>
    <row r="2569" spans="1:3" x14ac:dyDescent="0.25">
      <c r="A2569" s="631" t="s">
        <v>3133</v>
      </c>
      <c r="B2569" s="632" t="s">
        <v>3134</v>
      </c>
      <c r="C2569" s="632">
        <v>6388</v>
      </c>
    </row>
    <row r="2570" spans="1:3" x14ac:dyDescent="0.25">
      <c r="A2570" s="631" t="s">
        <v>3135</v>
      </c>
      <c r="B2570" s="632" t="s">
        <v>3136</v>
      </c>
      <c r="C2570" s="632">
        <v>3480</v>
      </c>
    </row>
    <row r="2571" spans="1:3" x14ac:dyDescent="0.25">
      <c r="A2571" s="631" t="s">
        <v>3137</v>
      </c>
      <c r="B2571" s="632" t="s">
        <v>3138</v>
      </c>
      <c r="C2571" s="632">
        <v>3804</v>
      </c>
    </row>
    <row r="2572" spans="1:3" x14ac:dyDescent="0.25">
      <c r="A2572" s="631" t="s">
        <v>3139</v>
      </c>
      <c r="B2572" s="632" t="s">
        <v>3140</v>
      </c>
      <c r="C2572" s="632">
        <v>3480</v>
      </c>
    </row>
    <row r="2573" spans="1:3" x14ac:dyDescent="0.25">
      <c r="A2573" s="631" t="s">
        <v>3141</v>
      </c>
      <c r="B2573" s="632" t="s">
        <v>3142</v>
      </c>
      <c r="C2573" s="632">
        <v>3804</v>
      </c>
    </row>
    <row r="2574" spans="1:3" x14ac:dyDescent="0.25">
      <c r="A2574" s="631" t="s">
        <v>3143</v>
      </c>
      <c r="B2574" s="632" t="s">
        <v>3144</v>
      </c>
      <c r="C2574" s="632">
        <v>3480</v>
      </c>
    </row>
    <row r="2575" spans="1:3" x14ac:dyDescent="0.25">
      <c r="A2575" s="631" t="s">
        <v>3145</v>
      </c>
      <c r="B2575" s="632" t="s">
        <v>3146</v>
      </c>
      <c r="C2575" s="632">
        <v>3804</v>
      </c>
    </row>
    <row r="2576" spans="1:3" x14ac:dyDescent="0.25">
      <c r="A2576" s="631" t="s">
        <v>3147</v>
      </c>
      <c r="B2576" s="632" t="s">
        <v>3148</v>
      </c>
      <c r="C2576" s="632">
        <v>3480</v>
      </c>
    </row>
    <row r="2577" spans="1:3" x14ac:dyDescent="0.25">
      <c r="A2577" s="631" t="s">
        <v>3149</v>
      </c>
      <c r="B2577" s="632" t="s">
        <v>3150</v>
      </c>
      <c r="C2577" s="632">
        <v>3804</v>
      </c>
    </row>
    <row r="2578" spans="1:3" x14ac:dyDescent="0.25">
      <c r="A2578" s="631" t="s">
        <v>3151</v>
      </c>
      <c r="B2578" s="632" t="s">
        <v>3152</v>
      </c>
      <c r="C2578" s="632">
        <v>3091</v>
      </c>
    </row>
    <row r="2579" spans="1:3" x14ac:dyDescent="0.25">
      <c r="A2579" s="631" t="s">
        <v>3153</v>
      </c>
      <c r="B2579" s="632" t="s">
        <v>3154</v>
      </c>
      <c r="C2579" s="632">
        <v>3480</v>
      </c>
    </row>
    <row r="2580" spans="1:3" x14ac:dyDescent="0.25">
      <c r="A2580" s="631" t="s">
        <v>3155</v>
      </c>
      <c r="B2580" s="632" t="s">
        <v>3156</v>
      </c>
      <c r="C2580" s="632">
        <v>3804</v>
      </c>
    </row>
    <row r="2581" spans="1:3" x14ac:dyDescent="0.25">
      <c r="A2581" s="631" t="s">
        <v>3157</v>
      </c>
      <c r="B2581" s="632" t="s">
        <v>3158</v>
      </c>
      <c r="C2581" s="632">
        <v>3676</v>
      </c>
    </row>
    <row r="2582" spans="1:3" x14ac:dyDescent="0.25">
      <c r="A2582" s="631" t="s">
        <v>3159</v>
      </c>
      <c r="B2582" s="632" t="s">
        <v>3160</v>
      </c>
      <c r="C2582" s="632">
        <v>3678</v>
      </c>
    </row>
    <row r="2583" spans="1:3" x14ac:dyDescent="0.25">
      <c r="A2583" s="631" t="s">
        <v>3161</v>
      </c>
      <c r="B2583" s="632" t="s">
        <v>3162</v>
      </c>
      <c r="C2583" s="632">
        <v>4019</v>
      </c>
    </row>
    <row r="2584" spans="1:3" x14ac:dyDescent="0.25">
      <c r="A2584" s="631" t="s">
        <v>3163</v>
      </c>
      <c r="B2584" s="632" t="s">
        <v>3164</v>
      </c>
      <c r="C2584" s="632">
        <v>3676</v>
      </c>
    </row>
    <row r="2585" spans="1:3" x14ac:dyDescent="0.25">
      <c r="A2585" s="631" t="s">
        <v>3165</v>
      </c>
      <c r="B2585" s="632" t="s">
        <v>3166</v>
      </c>
      <c r="C2585" s="632">
        <v>3678</v>
      </c>
    </row>
    <row r="2586" spans="1:3" x14ac:dyDescent="0.25">
      <c r="A2586" s="631" t="s">
        <v>3167</v>
      </c>
      <c r="B2586" s="632" t="s">
        <v>3168</v>
      </c>
      <c r="C2586" s="632">
        <v>4019</v>
      </c>
    </row>
    <row r="2587" spans="1:3" x14ac:dyDescent="0.25">
      <c r="A2587" s="631" t="s">
        <v>3169</v>
      </c>
      <c r="B2587" s="632" t="s">
        <v>3170</v>
      </c>
      <c r="C2587" s="632">
        <v>3676</v>
      </c>
    </row>
    <row r="2588" spans="1:3" x14ac:dyDescent="0.25">
      <c r="A2588" s="631" t="s">
        <v>3171</v>
      </c>
      <c r="B2588" s="632" t="s">
        <v>3172</v>
      </c>
      <c r="C2588" s="632">
        <v>3678</v>
      </c>
    </row>
    <row r="2589" spans="1:3" x14ac:dyDescent="0.25">
      <c r="A2589" s="631" t="s">
        <v>3173</v>
      </c>
      <c r="B2589" s="632" t="s">
        <v>3174</v>
      </c>
      <c r="C2589" s="632">
        <v>4019</v>
      </c>
    </row>
    <row r="2590" spans="1:3" x14ac:dyDescent="0.25">
      <c r="A2590" s="631" t="s">
        <v>3175</v>
      </c>
      <c r="B2590" s="632" t="s">
        <v>3176</v>
      </c>
      <c r="C2590" s="632">
        <v>3676</v>
      </c>
    </row>
    <row r="2591" spans="1:3" x14ac:dyDescent="0.25">
      <c r="A2591" s="631" t="s">
        <v>3177</v>
      </c>
      <c r="B2591" s="632" t="s">
        <v>3178</v>
      </c>
      <c r="C2591" s="632">
        <v>3678</v>
      </c>
    </row>
    <row r="2592" spans="1:3" x14ac:dyDescent="0.25">
      <c r="A2592" s="631" t="s">
        <v>3179</v>
      </c>
      <c r="B2592" s="632" t="s">
        <v>3180</v>
      </c>
      <c r="C2592" s="632">
        <v>4019</v>
      </c>
    </row>
    <row r="2593" spans="1:3" x14ac:dyDescent="0.25">
      <c r="A2593" s="631" t="s">
        <v>3181</v>
      </c>
      <c r="B2593" s="632" t="s">
        <v>3182</v>
      </c>
      <c r="C2593" s="632">
        <v>3676</v>
      </c>
    </row>
    <row r="2594" spans="1:3" x14ac:dyDescent="0.25">
      <c r="A2594" s="631" t="s">
        <v>3183</v>
      </c>
      <c r="B2594" s="632" t="s">
        <v>3184</v>
      </c>
      <c r="C2594" s="632">
        <v>3678</v>
      </c>
    </row>
    <row r="2595" spans="1:3" x14ac:dyDescent="0.25">
      <c r="A2595" s="631" t="s">
        <v>3185</v>
      </c>
      <c r="B2595" s="632" t="s">
        <v>3186</v>
      </c>
      <c r="C2595" s="632">
        <v>4019</v>
      </c>
    </row>
    <row r="2596" spans="1:3" x14ac:dyDescent="0.25">
      <c r="A2596" s="631" t="s">
        <v>3187</v>
      </c>
      <c r="B2596" s="632" t="s">
        <v>3188</v>
      </c>
      <c r="C2596" s="632">
        <v>3266</v>
      </c>
    </row>
    <row r="2597" spans="1:3" x14ac:dyDescent="0.25">
      <c r="A2597" s="631" t="s">
        <v>3189</v>
      </c>
      <c r="B2597" s="632" t="s">
        <v>3190</v>
      </c>
      <c r="C2597" s="632">
        <v>3676</v>
      </c>
    </row>
    <row r="2598" spans="1:3" x14ac:dyDescent="0.25">
      <c r="A2598" s="631" t="s">
        <v>3191</v>
      </c>
      <c r="B2598" s="632" t="s">
        <v>3192</v>
      </c>
      <c r="C2598" s="632">
        <v>3678</v>
      </c>
    </row>
    <row r="2599" spans="1:3" x14ac:dyDescent="0.25">
      <c r="A2599" s="631" t="s">
        <v>3193</v>
      </c>
      <c r="B2599" s="632" t="s">
        <v>3194</v>
      </c>
      <c r="C2599" s="632">
        <v>4019</v>
      </c>
    </row>
    <row r="2600" spans="1:3" x14ac:dyDescent="0.25">
      <c r="A2600" s="631" t="s">
        <v>3195</v>
      </c>
      <c r="B2600" s="632" t="s">
        <v>3196</v>
      </c>
      <c r="C2600" s="632">
        <v>3676</v>
      </c>
    </row>
    <row r="2601" spans="1:3" x14ac:dyDescent="0.25">
      <c r="A2601" s="631" t="s">
        <v>3197</v>
      </c>
      <c r="B2601" s="632" t="s">
        <v>3198</v>
      </c>
      <c r="C2601" s="632">
        <v>4019</v>
      </c>
    </row>
    <row r="2602" spans="1:3" x14ac:dyDescent="0.25">
      <c r="A2602" s="631" t="s">
        <v>3199</v>
      </c>
      <c r="B2602" s="632" t="s">
        <v>3200</v>
      </c>
      <c r="C2602" s="632">
        <v>4019</v>
      </c>
    </row>
    <row r="2603" spans="1:3" x14ac:dyDescent="0.25">
      <c r="A2603" s="631" t="s">
        <v>3201</v>
      </c>
      <c r="B2603" s="632" t="s">
        <v>3202</v>
      </c>
      <c r="C2603" s="632">
        <v>3676</v>
      </c>
    </row>
    <row r="2604" spans="1:3" x14ac:dyDescent="0.25">
      <c r="A2604" s="631" t="s">
        <v>3203</v>
      </c>
      <c r="B2604" s="632" t="s">
        <v>3204</v>
      </c>
      <c r="C2604" s="632">
        <v>4019</v>
      </c>
    </row>
    <row r="2605" spans="1:3" x14ac:dyDescent="0.25">
      <c r="A2605" s="631" t="s">
        <v>3205</v>
      </c>
      <c r="B2605" s="632" t="s">
        <v>3206</v>
      </c>
      <c r="C2605" s="632">
        <v>4019</v>
      </c>
    </row>
    <row r="2606" spans="1:3" x14ac:dyDescent="0.25">
      <c r="A2606" s="631" t="s">
        <v>3207</v>
      </c>
      <c r="B2606" s="632" t="s">
        <v>3208</v>
      </c>
      <c r="C2606" s="632">
        <v>3676</v>
      </c>
    </row>
    <row r="2607" spans="1:3" x14ac:dyDescent="0.25">
      <c r="A2607" s="631" t="s">
        <v>3209</v>
      </c>
      <c r="B2607" s="632" t="s">
        <v>3210</v>
      </c>
      <c r="C2607" s="632">
        <v>4019</v>
      </c>
    </row>
    <row r="2608" spans="1:3" x14ac:dyDescent="0.25">
      <c r="A2608" s="631" t="s">
        <v>3211</v>
      </c>
      <c r="B2608" s="632" t="s">
        <v>3212</v>
      </c>
      <c r="C2608" s="632">
        <v>4019</v>
      </c>
    </row>
    <row r="2609" spans="1:3" x14ac:dyDescent="0.25">
      <c r="A2609" s="631" t="s">
        <v>3213</v>
      </c>
      <c r="B2609" s="632" t="s">
        <v>3214</v>
      </c>
      <c r="C2609" s="632">
        <v>3676</v>
      </c>
    </row>
    <row r="2610" spans="1:3" x14ac:dyDescent="0.25">
      <c r="A2610" s="631" t="s">
        <v>3215</v>
      </c>
      <c r="B2610" s="632" t="s">
        <v>3216</v>
      </c>
      <c r="C2610" s="632">
        <v>4019</v>
      </c>
    </row>
    <row r="2611" spans="1:3" x14ac:dyDescent="0.25">
      <c r="A2611" s="631" t="s">
        <v>3217</v>
      </c>
      <c r="B2611" s="632" t="s">
        <v>3218</v>
      </c>
      <c r="C2611" s="632">
        <v>4019</v>
      </c>
    </row>
    <row r="2612" spans="1:3" x14ac:dyDescent="0.25">
      <c r="A2612" s="631" t="s">
        <v>3219</v>
      </c>
      <c r="B2612" s="632" t="s">
        <v>3220</v>
      </c>
      <c r="C2612" s="632">
        <v>3676</v>
      </c>
    </row>
    <row r="2613" spans="1:3" x14ac:dyDescent="0.25">
      <c r="A2613" s="631" t="s">
        <v>3221</v>
      </c>
      <c r="B2613" s="632" t="s">
        <v>3222</v>
      </c>
      <c r="C2613" s="632">
        <v>4019</v>
      </c>
    </row>
    <row r="2614" spans="1:3" x14ac:dyDescent="0.25">
      <c r="A2614" s="631" t="s">
        <v>3223</v>
      </c>
      <c r="B2614" s="632" t="s">
        <v>3224</v>
      </c>
      <c r="C2614" s="632">
        <v>4019</v>
      </c>
    </row>
    <row r="2615" spans="1:3" x14ac:dyDescent="0.25">
      <c r="A2615" s="631" t="s">
        <v>3225</v>
      </c>
      <c r="B2615" s="632" t="s">
        <v>3226</v>
      </c>
      <c r="C2615" s="632">
        <v>3676</v>
      </c>
    </row>
    <row r="2616" spans="1:3" x14ac:dyDescent="0.25">
      <c r="A2616" s="631" t="s">
        <v>3227</v>
      </c>
      <c r="B2616" s="632" t="s">
        <v>3228</v>
      </c>
      <c r="C2616" s="632">
        <v>4019</v>
      </c>
    </row>
    <row r="2617" spans="1:3" x14ac:dyDescent="0.25">
      <c r="A2617" s="631" t="s">
        <v>3229</v>
      </c>
      <c r="B2617" s="632" t="s">
        <v>3230</v>
      </c>
      <c r="C2617" s="632">
        <v>3676</v>
      </c>
    </row>
    <row r="2618" spans="1:3" x14ac:dyDescent="0.25">
      <c r="A2618" s="631" t="s">
        <v>3231</v>
      </c>
      <c r="B2618" s="632" t="s">
        <v>3232</v>
      </c>
      <c r="C2618" s="632">
        <v>4019</v>
      </c>
    </row>
    <row r="2619" spans="1:3" x14ac:dyDescent="0.25">
      <c r="A2619" s="631" t="s">
        <v>3233</v>
      </c>
      <c r="B2619" s="632" t="s">
        <v>3234</v>
      </c>
      <c r="C2619" s="632">
        <v>3676</v>
      </c>
    </row>
    <row r="2620" spans="1:3" x14ac:dyDescent="0.25">
      <c r="A2620" s="631" t="s">
        <v>3235</v>
      </c>
      <c r="B2620" s="632" t="s">
        <v>3236</v>
      </c>
      <c r="C2620" s="632">
        <v>4019</v>
      </c>
    </row>
    <row r="2621" spans="1:3" x14ac:dyDescent="0.25">
      <c r="A2621" s="631" t="s">
        <v>3237</v>
      </c>
      <c r="B2621" s="632" t="s">
        <v>3238</v>
      </c>
      <c r="C2621" s="632">
        <v>3676</v>
      </c>
    </row>
    <row r="2622" spans="1:3" x14ac:dyDescent="0.25">
      <c r="A2622" s="631" t="s">
        <v>3239</v>
      </c>
      <c r="B2622" s="632" t="s">
        <v>3240</v>
      </c>
      <c r="C2622" s="632">
        <v>4019</v>
      </c>
    </row>
    <row r="2623" spans="1:3" x14ac:dyDescent="0.25">
      <c r="A2623" s="631" t="s">
        <v>3241</v>
      </c>
      <c r="B2623" s="632" t="s">
        <v>3242</v>
      </c>
      <c r="C2623" s="632">
        <v>3676</v>
      </c>
    </row>
    <row r="2624" spans="1:3" x14ac:dyDescent="0.25">
      <c r="A2624" s="631" t="s">
        <v>3243</v>
      </c>
      <c r="B2624" s="632" t="s">
        <v>3244</v>
      </c>
      <c r="C2624" s="632">
        <v>4019</v>
      </c>
    </row>
    <row r="2625" spans="1:3" x14ac:dyDescent="0.25">
      <c r="A2625" s="631" t="s">
        <v>3245</v>
      </c>
      <c r="B2625" s="632" t="s">
        <v>3246</v>
      </c>
      <c r="C2625" s="632">
        <v>3676</v>
      </c>
    </row>
    <row r="2626" spans="1:3" x14ac:dyDescent="0.25">
      <c r="A2626" s="631" t="s">
        <v>3247</v>
      </c>
      <c r="B2626" s="632" t="s">
        <v>3248</v>
      </c>
      <c r="C2626" s="632">
        <v>4019</v>
      </c>
    </row>
    <row r="2627" spans="1:3" x14ac:dyDescent="0.25">
      <c r="A2627" s="631" t="s">
        <v>4357</v>
      </c>
      <c r="B2627" s="632" t="s">
        <v>4358</v>
      </c>
      <c r="C2627" s="632">
        <v>5738</v>
      </c>
    </row>
    <row r="2628" spans="1:3" x14ac:dyDescent="0.25">
      <c r="A2628" s="631" t="s">
        <v>3249</v>
      </c>
      <c r="B2628" s="632" t="s">
        <v>3250</v>
      </c>
      <c r="C2628" s="632">
        <v>5249</v>
      </c>
    </row>
    <row r="2629" spans="1:3" x14ac:dyDescent="0.25">
      <c r="A2629" s="631" t="s">
        <v>3251</v>
      </c>
      <c r="B2629" s="632" t="s">
        <v>3252</v>
      </c>
      <c r="C2629" s="632">
        <v>4662</v>
      </c>
    </row>
    <row r="2630" spans="1:3" x14ac:dyDescent="0.25">
      <c r="A2630" s="631" t="s">
        <v>3253</v>
      </c>
      <c r="B2630" s="632" t="s">
        <v>3254</v>
      </c>
      <c r="C2630" s="632">
        <v>5249</v>
      </c>
    </row>
    <row r="2631" spans="1:3" x14ac:dyDescent="0.25">
      <c r="A2631" s="631" t="s">
        <v>3255</v>
      </c>
      <c r="B2631" s="632" t="s">
        <v>3256</v>
      </c>
      <c r="C2631" s="632">
        <v>4662</v>
      </c>
    </row>
    <row r="2632" spans="1:3" x14ac:dyDescent="0.25">
      <c r="A2632" s="631" t="s">
        <v>3257</v>
      </c>
      <c r="B2632" s="632" t="s">
        <v>3258</v>
      </c>
      <c r="C2632" s="632">
        <v>5249</v>
      </c>
    </row>
    <row r="2633" spans="1:3" x14ac:dyDescent="0.25">
      <c r="A2633" s="631" t="s">
        <v>3259</v>
      </c>
      <c r="B2633" s="632" t="s">
        <v>3260</v>
      </c>
      <c r="C2633" s="632">
        <v>4662</v>
      </c>
    </row>
    <row r="2634" spans="1:3" x14ac:dyDescent="0.25">
      <c r="A2634" s="631" t="s">
        <v>3261</v>
      </c>
      <c r="B2634" s="632" t="s">
        <v>3262</v>
      </c>
      <c r="C2634" s="632">
        <v>7990</v>
      </c>
    </row>
    <row r="2635" spans="1:3" x14ac:dyDescent="0.25">
      <c r="A2635" s="631" t="s">
        <v>3263</v>
      </c>
      <c r="B2635" s="632" t="s">
        <v>3264</v>
      </c>
      <c r="C2635" s="632">
        <v>3480</v>
      </c>
    </row>
    <row r="2636" spans="1:3" x14ac:dyDescent="0.25">
      <c r="A2636" s="631" t="s">
        <v>3265</v>
      </c>
      <c r="B2636" s="632" t="s">
        <v>3266</v>
      </c>
      <c r="C2636" s="632">
        <v>3804</v>
      </c>
    </row>
    <row r="2637" spans="1:3" x14ac:dyDescent="0.25">
      <c r="A2637" s="631" t="s">
        <v>3267</v>
      </c>
      <c r="B2637" s="632" t="s">
        <v>3268</v>
      </c>
      <c r="C2637" s="632">
        <v>3480</v>
      </c>
    </row>
    <row r="2638" spans="1:3" x14ac:dyDescent="0.25">
      <c r="A2638" s="631" t="s">
        <v>3269</v>
      </c>
      <c r="B2638" s="632" t="s">
        <v>3270</v>
      </c>
      <c r="C2638" s="632">
        <v>3804</v>
      </c>
    </row>
    <row r="2639" spans="1:3" x14ac:dyDescent="0.25">
      <c r="A2639" s="631" t="s">
        <v>3271</v>
      </c>
      <c r="B2639" s="632" t="s">
        <v>3272</v>
      </c>
      <c r="C2639" s="632">
        <v>3480</v>
      </c>
    </row>
    <row r="2640" spans="1:3" x14ac:dyDescent="0.25">
      <c r="A2640" s="631" t="s">
        <v>3273</v>
      </c>
      <c r="B2640" s="632" t="s">
        <v>3274</v>
      </c>
      <c r="C2640" s="632">
        <v>3804</v>
      </c>
    </row>
    <row r="2641" spans="1:3" x14ac:dyDescent="0.25">
      <c r="A2641" s="631" t="s">
        <v>4359</v>
      </c>
      <c r="B2641" s="632" t="s">
        <v>4360</v>
      </c>
      <c r="C2641" s="632">
        <v>3804</v>
      </c>
    </row>
    <row r="2642" spans="1:3" x14ac:dyDescent="0.25">
      <c r="A2642" s="631" t="s">
        <v>3275</v>
      </c>
      <c r="B2642" s="632" t="s">
        <v>3276</v>
      </c>
      <c r="C2642" s="632">
        <v>3804</v>
      </c>
    </row>
    <row r="2643" spans="1:3" x14ac:dyDescent="0.25">
      <c r="A2643" s="631" t="s">
        <v>4361</v>
      </c>
      <c r="B2643" s="632" t="s">
        <v>4362</v>
      </c>
      <c r="C2643" s="632">
        <v>6142</v>
      </c>
    </row>
    <row r="2644" spans="1:3" x14ac:dyDescent="0.25">
      <c r="A2644" s="631" t="s">
        <v>3277</v>
      </c>
      <c r="B2644" s="632" t="s">
        <v>3278</v>
      </c>
      <c r="C2644" s="632">
        <v>5249</v>
      </c>
    </row>
    <row r="2645" spans="1:3" x14ac:dyDescent="0.25">
      <c r="A2645" s="631" t="s">
        <v>3279</v>
      </c>
      <c r="B2645" s="632" t="s">
        <v>3280</v>
      </c>
      <c r="C2645" s="632">
        <v>4662</v>
      </c>
    </row>
    <row r="2646" spans="1:3" x14ac:dyDescent="0.25">
      <c r="A2646" s="631" t="s">
        <v>3281</v>
      </c>
      <c r="B2646" s="632" t="s">
        <v>3282</v>
      </c>
      <c r="C2646" s="632">
        <v>5249</v>
      </c>
    </row>
    <row r="2647" spans="1:3" x14ac:dyDescent="0.25">
      <c r="A2647" s="631" t="s">
        <v>3283</v>
      </c>
      <c r="B2647" s="632" t="s">
        <v>3284</v>
      </c>
      <c r="C2647" s="632">
        <v>4662</v>
      </c>
    </row>
    <row r="2648" spans="1:3" x14ac:dyDescent="0.25">
      <c r="A2648" s="631" t="s">
        <v>3285</v>
      </c>
      <c r="B2648" s="632" t="s">
        <v>3286</v>
      </c>
      <c r="C2648" s="632">
        <v>5249</v>
      </c>
    </row>
    <row r="2649" spans="1:3" x14ac:dyDescent="0.25">
      <c r="A2649" s="631" t="s">
        <v>3287</v>
      </c>
      <c r="B2649" s="632" t="s">
        <v>3288</v>
      </c>
      <c r="C2649" s="632">
        <v>4662</v>
      </c>
    </row>
    <row r="2650" spans="1:3" x14ac:dyDescent="0.25">
      <c r="A2650" s="631" t="s">
        <v>3289</v>
      </c>
      <c r="B2650" s="632" t="s">
        <v>3290</v>
      </c>
      <c r="C2650" s="632">
        <v>5249</v>
      </c>
    </row>
    <row r="2651" spans="1:3" x14ac:dyDescent="0.25">
      <c r="A2651" s="631" t="s">
        <v>3291</v>
      </c>
      <c r="B2651" s="632" t="s">
        <v>3292</v>
      </c>
      <c r="C2651" s="632">
        <v>4662</v>
      </c>
    </row>
    <row r="2652" spans="1:3" x14ac:dyDescent="0.25">
      <c r="A2652" s="631" t="s">
        <v>3293</v>
      </c>
      <c r="B2652" s="632" t="s">
        <v>3294</v>
      </c>
      <c r="C2652" s="632">
        <v>5249</v>
      </c>
    </row>
    <row r="2653" spans="1:3" x14ac:dyDescent="0.25">
      <c r="A2653" s="631" t="s">
        <v>3295</v>
      </c>
      <c r="B2653" s="632" t="s">
        <v>3296</v>
      </c>
      <c r="C2653" s="632">
        <v>5467</v>
      </c>
    </row>
    <row r="2654" spans="1:3" x14ac:dyDescent="0.25">
      <c r="A2654" s="631" t="s">
        <v>3297</v>
      </c>
      <c r="B2654" s="632" t="s">
        <v>3298</v>
      </c>
      <c r="C2654" s="632">
        <v>5249</v>
      </c>
    </row>
    <row r="2655" spans="1:3" x14ac:dyDescent="0.25">
      <c r="A2655" s="631" t="s">
        <v>3299</v>
      </c>
      <c r="B2655" s="632" t="s">
        <v>3300</v>
      </c>
      <c r="C2655" s="632">
        <v>5467</v>
      </c>
    </row>
    <row r="2656" spans="1:3" x14ac:dyDescent="0.25">
      <c r="A2656" s="631" t="s">
        <v>3301</v>
      </c>
      <c r="B2656" s="632" t="s">
        <v>3302</v>
      </c>
      <c r="C2656" s="632">
        <v>5249</v>
      </c>
    </row>
    <row r="2657" spans="1:3" x14ac:dyDescent="0.25">
      <c r="A2657" s="631" t="s">
        <v>3303</v>
      </c>
      <c r="B2657" s="632" t="s">
        <v>3304</v>
      </c>
      <c r="C2657" s="632">
        <v>5467</v>
      </c>
    </row>
    <row r="2658" spans="1:3" x14ac:dyDescent="0.25">
      <c r="A2658" s="631" t="s">
        <v>3305</v>
      </c>
      <c r="B2658" s="632" t="s">
        <v>3306</v>
      </c>
      <c r="C2658" s="632">
        <v>4565</v>
      </c>
    </row>
    <row r="2659" spans="1:3" x14ac:dyDescent="0.25">
      <c r="A2659" s="631" t="s">
        <v>3307</v>
      </c>
      <c r="B2659" s="632" t="s">
        <v>3308</v>
      </c>
      <c r="C2659" s="632">
        <v>4565</v>
      </c>
    </row>
    <row r="2660" spans="1:3" x14ac:dyDescent="0.25">
      <c r="A2660" s="631" t="s">
        <v>3309</v>
      </c>
      <c r="B2660" s="632" t="s">
        <v>3310</v>
      </c>
      <c r="C2660" s="632">
        <v>4990</v>
      </c>
    </row>
    <row r="2661" spans="1:3" x14ac:dyDescent="0.25">
      <c r="A2661" s="631" t="s">
        <v>3311</v>
      </c>
      <c r="B2661" s="632" t="s">
        <v>3312</v>
      </c>
      <c r="C2661" s="632">
        <v>4565</v>
      </c>
    </row>
    <row r="2662" spans="1:3" x14ac:dyDescent="0.25">
      <c r="A2662" s="631" t="s">
        <v>3313</v>
      </c>
      <c r="B2662" s="632" t="s">
        <v>3314</v>
      </c>
      <c r="C2662" s="632">
        <v>4565</v>
      </c>
    </row>
    <row r="2663" spans="1:3" x14ac:dyDescent="0.25">
      <c r="A2663" s="631" t="s">
        <v>3315</v>
      </c>
      <c r="B2663" s="632" t="s">
        <v>3316</v>
      </c>
      <c r="C2663" s="632">
        <v>4990</v>
      </c>
    </row>
    <row r="2664" spans="1:3" x14ac:dyDescent="0.25">
      <c r="A2664" s="631" t="s">
        <v>3317</v>
      </c>
      <c r="B2664" s="632" t="s">
        <v>3318</v>
      </c>
      <c r="C2664" s="632">
        <v>4565</v>
      </c>
    </row>
    <row r="2665" spans="1:3" x14ac:dyDescent="0.25">
      <c r="A2665" s="631" t="s">
        <v>3319</v>
      </c>
      <c r="B2665" s="632" t="s">
        <v>3320</v>
      </c>
      <c r="C2665" s="632">
        <v>4565</v>
      </c>
    </row>
    <row r="2666" spans="1:3" x14ac:dyDescent="0.25">
      <c r="A2666" s="631" t="s">
        <v>3321</v>
      </c>
      <c r="B2666" s="632" t="s">
        <v>3322</v>
      </c>
      <c r="C2666" s="632">
        <v>4990</v>
      </c>
    </row>
    <row r="2667" spans="1:3" x14ac:dyDescent="0.25">
      <c r="A2667" s="631" t="s">
        <v>3323</v>
      </c>
      <c r="B2667" s="632" t="s">
        <v>3324</v>
      </c>
      <c r="C2667" s="632">
        <v>4565</v>
      </c>
    </row>
    <row r="2668" spans="1:3" x14ac:dyDescent="0.25">
      <c r="A2668" s="631" t="s">
        <v>3325</v>
      </c>
      <c r="B2668" s="632" t="s">
        <v>3326</v>
      </c>
      <c r="C2668" s="632">
        <v>4565</v>
      </c>
    </row>
    <row r="2669" spans="1:3" x14ac:dyDescent="0.25">
      <c r="A2669" s="631" t="s">
        <v>3327</v>
      </c>
      <c r="B2669" s="632" t="s">
        <v>3328</v>
      </c>
      <c r="C2669" s="632">
        <v>4990</v>
      </c>
    </row>
    <row r="2670" spans="1:3" x14ac:dyDescent="0.25">
      <c r="A2670" s="631" t="s">
        <v>3329</v>
      </c>
      <c r="B2670" s="632" t="s">
        <v>3330</v>
      </c>
      <c r="C2670" s="632">
        <v>4565</v>
      </c>
    </row>
    <row r="2671" spans="1:3" x14ac:dyDescent="0.25">
      <c r="A2671" s="631" t="s">
        <v>3331</v>
      </c>
      <c r="B2671" s="632" t="s">
        <v>3332</v>
      </c>
      <c r="C2671" s="632">
        <v>4565</v>
      </c>
    </row>
    <row r="2672" spans="1:3" x14ac:dyDescent="0.25">
      <c r="A2672" s="631" t="s">
        <v>3333</v>
      </c>
      <c r="B2672" s="632" t="s">
        <v>3334</v>
      </c>
      <c r="C2672" s="632">
        <v>4990</v>
      </c>
    </row>
    <row r="2673" spans="1:3" x14ac:dyDescent="0.25">
      <c r="A2673" s="631" t="s">
        <v>3335</v>
      </c>
      <c r="B2673" s="632" t="s">
        <v>3336</v>
      </c>
      <c r="C2673" s="632">
        <v>4565</v>
      </c>
    </row>
    <row r="2674" spans="1:3" x14ac:dyDescent="0.25">
      <c r="A2674" s="631" t="s">
        <v>3337</v>
      </c>
      <c r="B2674" s="632" t="s">
        <v>3338</v>
      </c>
      <c r="C2674" s="632">
        <v>4565</v>
      </c>
    </row>
    <row r="2675" spans="1:3" x14ac:dyDescent="0.25">
      <c r="A2675" s="631" t="s">
        <v>3339</v>
      </c>
      <c r="B2675" s="632" t="s">
        <v>3340</v>
      </c>
      <c r="C2675" s="632">
        <v>4990</v>
      </c>
    </row>
    <row r="2676" spans="1:3" x14ac:dyDescent="0.25">
      <c r="A2676" s="631" t="s">
        <v>3341</v>
      </c>
      <c r="B2676" s="632" t="s">
        <v>3342</v>
      </c>
      <c r="C2676" s="632">
        <v>4565</v>
      </c>
    </row>
    <row r="2677" spans="1:3" x14ac:dyDescent="0.25">
      <c r="A2677" s="631" t="s">
        <v>3343</v>
      </c>
      <c r="B2677" s="632" t="s">
        <v>3344</v>
      </c>
      <c r="C2677" s="632">
        <v>4565</v>
      </c>
    </row>
    <row r="2678" spans="1:3" x14ac:dyDescent="0.25">
      <c r="A2678" s="631" t="s">
        <v>3345</v>
      </c>
      <c r="B2678" s="632" t="s">
        <v>3346</v>
      </c>
      <c r="C2678" s="632">
        <v>4990</v>
      </c>
    </row>
    <row r="2679" spans="1:3" x14ac:dyDescent="0.25">
      <c r="A2679" s="631" t="s">
        <v>3347</v>
      </c>
      <c r="B2679" s="632" t="s">
        <v>3348</v>
      </c>
      <c r="C2679" s="632">
        <v>4565</v>
      </c>
    </row>
    <row r="2680" spans="1:3" x14ac:dyDescent="0.25">
      <c r="A2680" s="631" t="s">
        <v>3349</v>
      </c>
      <c r="B2680" s="632" t="s">
        <v>3350</v>
      </c>
      <c r="C2680" s="632">
        <v>4565</v>
      </c>
    </row>
    <row r="2681" spans="1:3" x14ac:dyDescent="0.25">
      <c r="A2681" s="631" t="s">
        <v>3351</v>
      </c>
      <c r="B2681" s="632" t="s">
        <v>3352</v>
      </c>
      <c r="C2681" s="632">
        <v>4990</v>
      </c>
    </row>
    <row r="2682" spans="1:3" x14ac:dyDescent="0.25">
      <c r="A2682" s="631" t="s">
        <v>3353</v>
      </c>
      <c r="B2682" s="632" t="s">
        <v>3354</v>
      </c>
      <c r="C2682" s="632">
        <v>4565</v>
      </c>
    </row>
    <row r="2683" spans="1:3" x14ac:dyDescent="0.25">
      <c r="A2683" s="631" t="s">
        <v>3355</v>
      </c>
      <c r="B2683" s="632" t="s">
        <v>3356</v>
      </c>
      <c r="C2683" s="632">
        <v>4565</v>
      </c>
    </row>
    <row r="2684" spans="1:3" x14ac:dyDescent="0.25">
      <c r="A2684" s="631" t="s">
        <v>3357</v>
      </c>
      <c r="B2684" s="632" t="s">
        <v>3358</v>
      </c>
      <c r="C2684" s="632">
        <v>4990</v>
      </c>
    </row>
    <row r="2685" spans="1:3" x14ac:dyDescent="0.25">
      <c r="A2685" s="631" t="s">
        <v>3359</v>
      </c>
      <c r="B2685" s="632" t="s">
        <v>3360</v>
      </c>
      <c r="C2685" s="632">
        <v>4565</v>
      </c>
    </row>
    <row r="2686" spans="1:3" x14ac:dyDescent="0.25">
      <c r="A2686" s="631" t="s">
        <v>3361</v>
      </c>
      <c r="B2686" s="632" t="s">
        <v>3362</v>
      </c>
      <c r="C2686" s="632">
        <v>4565</v>
      </c>
    </row>
    <row r="2687" spans="1:3" x14ac:dyDescent="0.25">
      <c r="A2687" s="631" t="s">
        <v>3363</v>
      </c>
      <c r="B2687" s="632" t="s">
        <v>3364</v>
      </c>
      <c r="C2687" s="632">
        <v>4990</v>
      </c>
    </row>
    <row r="2688" spans="1:3" x14ac:dyDescent="0.25">
      <c r="A2688" s="631">
        <v>5722420</v>
      </c>
      <c r="B2688" s="632" t="s">
        <v>3365</v>
      </c>
      <c r="C2688" s="632">
        <v>779</v>
      </c>
    </row>
    <row r="2689" spans="1:3" x14ac:dyDescent="0.25">
      <c r="A2689" s="631">
        <v>5722425</v>
      </c>
      <c r="B2689" s="632" t="s">
        <v>3366</v>
      </c>
      <c r="C2689" s="632">
        <v>779</v>
      </c>
    </row>
    <row r="2690" spans="1:3" x14ac:dyDescent="0.25">
      <c r="A2690" s="631">
        <v>5722434</v>
      </c>
      <c r="B2690" s="632" t="s">
        <v>3367</v>
      </c>
      <c r="C2690" s="632">
        <v>779</v>
      </c>
    </row>
    <row r="2691" spans="1:3" x14ac:dyDescent="0.25">
      <c r="A2691" s="631" t="s">
        <v>3368</v>
      </c>
      <c r="B2691" s="632" t="s">
        <v>3369</v>
      </c>
      <c r="C2691" s="632">
        <v>742</v>
      </c>
    </row>
    <row r="2692" spans="1:3" x14ac:dyDescent="0.25">
      <c r="A2692" s="631" t="s">
        <v>4363</v>
      </c>
      <c r="B2692" s="632" t="s">
        <v>3369</v>
      </c>
      <c r="C2692" s="632">
        <v>742</v>
      </c>
    </row>
    <row r="2693" spans="1:3" x14ac:dyDescent="0.25">
      <c r="A2693" s="631">
        <v>5722720</v>
      </c>
      <c r="B2693" s="632" t="s">
        <v>3370</v>
      </c>
      <c r="C2693" s="632">
        <v>779</v>
      </c>
    </row>
    <row r="2694" spans="1:3" x14ac:dyDescent="0.25">
      <c r="A2694" s="631">
        <v>5722725</v>
      </c>
      <c r="B2694" s="632" t="s">
        <v>3371</v>
      </c>
      <c r="C2694" s="632">
        <v>779</v>
      </c>
    </row>
    <row r="2695" spans="1:3" x14ac:dyDescent="0.25">
      <c r="A2695" s="631">
        <v>5722734</v>
      </c>
      <c r="B2695" s="632" t="s">
        <v>3372</v>
      </c>
      <c r="C2695" s="632">
        <v>779</v>
      </c>
    </row>
    <row r="2696" spans="1:3" x14ac:dyDescent="0.25">
      <c r="A2696" s="631">
        <v>5723034</v>
      </c>
      <c r="B2696" s="632" t="s">
        <v>3373</v>
      </c>
      <c r="C2696" s="632">
        <v>779</v>
      </c>
    </row>
    <row r="2697" spans="1:3" x14ac:dyDescent="0.25">
      <c r="A2697" s="631">
        <v>5723334</v>
      </c>
      <c r="B2697" s="632" t="s">
        <v>3374</v>
      </c>
      <c r="C2697" s="632">
        <v>779</v>
      </c>
    </row>
    <row r="2698" spans="1:3" x14ac:dyDescent="0.25">
      <c r="A2698" s="631">
        <v>5723335</v>
      </c>
      <c r="B2698" s="632" t="s">
        <v>3375</v>
      </c>
      <c r="C2698" s="632">
        <v>836</v>
      </c>
    </row>
    <row r="2699" spans="1:3" x14ac:dyDescent="0.25">
      <c r="A2699" s="631" t="s">
        <v>3376</v>
      </c>
      <c r="B2699" s="632" t="s">
        <v>3377</v>
      </c>
      <c r="C2699" s="632">
        <v>666</v>
      </c>
    </row>
    <row r="2700" spans="1:3" x14ac:dyDescent="0.25">
      <c r="A2700" s="631" t="s">
        <v>4364</v>
      </c>
      <c r="B2700" s="632" t="s">
        <v>3377</v>
      </c>
      <c r="C2700" s="632">
        <v>666</v>
      </c>
    </row>
    <row r="2701" spans="1:3" x14ac:dyDescent="0.25">
      <c r="A2701" s="631">
        <v>5723340</v>
      </c>
      <c r="B2701" s="632" t="s">
        <v>3378</v>
      </c>
      <c r="C2701" s="632">
        <v>836</v>
      </c>
    </row>
    <row r="2702" spans="1:3" x14ac:dyDescent="0.25">
      <c r="A2702" s="631" t="s">
        <v>3379</v>
      </c>
      <c r="B2702" s="632" t="s">
        <v>3380</v>
      </c>
      <c r="C2702" s="632">
        <v>666</v>
      </c>
    </row>
    <row r="2703" spans="1:3" x14ac:dyDescent="0.25">
      <c r="A2703" s="631" t="s">
        <v>4365</v>
      </c>
      <c r="B2703" s="632" t="s">
        <v>3380</v>
      </c>
      <c r="C2703" s="632">
        <v>666</v>
      </c>
    </row>
    <row r="2704" spans="1:3" x14ac:dyDescent="0.25">
      <c r="A2704" s="631">
        <v>5723635</v>
      </c>
      <c r="B2704" s="632" t="s">
        <v>3381</v>
      </c>
      <c r="C2704" s="632">
        <v>836</v>
      </c>
    </row>
    <row r="2705" spans="1:3" x14ac:dyDescent="0.25">
      <c r="A2705" s="631" t="s">
        <v>3382</v>
      </c>
      <c r="B2705" s="632" t="s">
        <v>3383</v>
      </c>
      <c r="C2705" s="632">
        <v>666</v>
      </c>
    </row>
    <row r="2706" spans="1:3" x14ac:dyDescent="0.25">
      <c r="A2706" s="631" t="s">
        <v>4366</v>
      </c>
      <c r="B2706" s="632" t="s">
        <v>3383</v>
      </c>
      <c r="C2706" s="632">
        <v>666</v>
      </c>
    </row>
    <row r="2707" spans="1:3" x14ac:dyDescent="0.25">
      <c r="A2707" s="631">
        <v>5723640</v>
      </c>
      <c r="B2707" s="632" t="s">
        <v>3384</v>
      </c>
      <c r="C2707" s="632">
        <v>836</v>
      </c>
    </row>
    <row r="2708" spans="1:3" x14ac:dyDescent="0.25">
      <c r="A2708" s="631" t="s">
        <v>3385</v>
      </c>
      <c r="B2708" s="632" t="s">
        <v>3386</v>
      </c>
      <c r="C2708" s="632">
        <v>666</v>
      </c>
    </row>
    <row r="2709" spans="1:3" x14ac:dyDescent="0.25">
      <c r="A2709" s="631" t="s">
        <v>4367</v>
      </c>
      <c r="B2709" s="632" t="s">
        <v>3386</v>
      </c>
      <c r="C2709" s="632">
        <v>666</v>
      </c>
    </row>
    <row r="2710" spans="1:3" x14ac:dyDescent="0.25">
      <c r="A2710" s="631">
        <v>5723935</v>
      </c>
      <c r="B2710" s="632" t="s">
        <v>3387</v>
      </c>
      <c r="C2710" s="632">
        <v>836</v>
      </c>
    </row>
    <row r="2711" spans="1:3" x14ac:dyDescent="0.25">
      <c r="A2711" s="631" t="s">
        <v>3388</v>
      </c>
      <c r="B2711" s="632" t="s">
        <v>3389</v>
      </c>
      <c r="C2711" s="632">
        <v>666</v>
      </c>
    </row>
    <row r="2712" spans="1:3" x14ac:dyDescent="0.25">
      <c r="A2712" s="631" t="s">
        <v>4368</v>
      </c>
      <c r="B2712" s="632" t="s">
        <v>3389</v>
      </c>
      <c r="C2712" s="632">
        <v>666</v>
      </c>
    </row>
    <row r="2713" spans="1:3" x14ac:dyDescent="0.25">
      <c r="A2713" s="631">
        <v>5723940</v>
      </c>
      <c r="B2713" s="632" t="s">
        <v>3390</v>
      </c>
      <c r="C2713" s="632">
        <v>836</v>
      </c>
    </row>
    <row r="2714" spans="1:3" x14ac:dyDescent="0.25">
      <c r="A2714" s="631" t="s">
        <v>3391</v>
      </c>
      <c r="B2714" s="632" t="s">
        <v>3392</v>
      </c>
      <c r="C2714" s="632">
        <v>666</v>
      </c>
    </row>
    <row r="2715" spans="1:3" x14ac:dyDescent="0.25">
      <c r="A2715" s="631" t="s">
        <v>4369</v>
      </c>
      <c r="B2715" s="632" t="s">
        <v>3392</v>
      </c>
      <c r="C2715" s="632">
        <v>666</v>
      </c>
    </row>
    <row r="2716" spans="1:3" x14ac:dyDescent="0.25">
      <c r="A2716" s="631">
        <v>5724235</v>
      </c>
      <c r="B2716" s="632" t="s">
        <v>3393</v>
      </c>
      <c r="C2716" s="632">
        <v>836</v>
      </c>
    </row>
    <row r="2717" spans="1:3" x14ac:dyDescent="0.25">
      <c r="A2717" s="631" t="s">
        <v>3394</v>
      </c>
      <c r="B2717" s="632" t="s">
        <v>3395</v>
      </c>
      <c r="C2717" s="632">
        <v>666</v>
      </c>
    </row>
    <row r="2718" spans="1:3" x14ac:dyDescent="0.25">
      <c r="A2718" s="631" t="s">
        <v>4370</v>
      </c>
      <c r="B2718" s="632" t="s">
        <v>3395</v>
      </c>
      <c r="C2718" s="632">
        <v>666</v>
      </c>
    </row>
    <row r="2719" spans="1:3" x14ac:dyDescent="0.25">
      <c r="A2719" s="631">
        <v>5724240</v>
      </c>
      <c r="B2719" s="632" t="s">
        <v>3396</v>
      </c>
      <c r="C2719" s="632">
        <v>836</v>
      </c>
    </row>
    <row r="2720" spans="1:3" x14ac:dyDescent="0.25">
      <c r="A2720" s="631" t="s">
        <v>3397</v>
      </c>
      <c r="B2720" s="632" t="s">
        <v>3398</v>
      </c>
      <c r="C2720" s="632">
        <v>666</v>
      </c>
    </row>
    <row r="2721" spans="1:3" x14ac:dyDescent="0.25">
      <c r="A2721" s="631" t="s">
        <v>4371</v>
      </c>
      <c r="B2721" s="632" t="s">
        <v>3398</v>
      </c>
      <c r="C2721" s="632">
        <v>666</v>
      </c>
    </row>
    <row r="2722" spans="1:3" x14ac:dyDescent="0.25">
      <c r="A2722" s="631">
        <v>5724535</v>
      </c>
      <c r="B2722" s="632" t="s">
        <v>3399</v>
      </c>
      <c r="C2722" s="632">
        <v>836</v>
      </c>
    </row>
    <row r="2723" spans="1:3" x14ac:dyDescent="0.25">
      <c r="A2723" s="631" t="s">
        <v>3400</v>
      </c>
      <c r="B2723" s="632" t="s">
        <v>3401</v>
      </c>
      <c r="C2723" s="632">
        <v>666</v>
      </c>
    </row>
    <row r="2724" spans="1:3" x14ac:dyDescent="0.25">
      <c r="A2724" s="631" t="s">
        <v>4372</v>
      </c>
      <c r="B2724" s="632" t="s">
        <v>3401</v>
      </c>
      <c r="C2724" s="632">
        <v>666</v>
      </c>
    </row>
    <row r="2725" spans="1:3" x14ac:dyDescent="0.25">
      <c r="A2725" s="631">
        <v>5724540</v>
      </c>
      <c r="B2725" s="632" t="s">
        <v>3402</v>
      </c>
      <c r="C2725" s="632">
        <v>836</v>
      </c>
    </row>
    <row r="2726" spans="1:3" x14ac:dyDescent="0.25">
      <c r="A2726" s="631" t="s">
        <v>3403</v>
      </c>
      <c r="B2726" s="632" t="s">
        <v>3404</v>
      </c>
      <c r="C2726" s="632">
        <v>666</v>
      </c>
    </row>
    <row r="2727" spans="1:3" x14ac:dyDescent="0.25">
      <c r="A2727" s="631" t="s">
        <v>4373</v>
      </c>
      <c r="B2727" s="632" t="s">
        <v>3404</v>
      </c>
      <c r="C2727" s="632">
        <v>666</v>
      </c>
    </row>
    <row r="2728" spans="1:3" x14ac:dyDescent="0.25">
      <c r="A2728" s="631">
        <v>5724840</v>
      </c>
      <c r="B2728" s="632" t="s">
        <v>3405</v>
      </c>
      <c r="C2728" s="632">
        <v>742</v>
      </c>
    </row>
    <row r="2729" spans="1:3" x14ac:dyDescent="0.25">
      <c r="A2729" s="631" t="s">
        <v>3406</v>
      </c>
      <c r="B2729" s="632" t="s">
        <v>3407</v>
      </c>
      <c r="C2729" s="632">
        <v>666</v>
      </c>
    </row>
    <row r="2730" spans="1:3" x14ac:dyDescent="0.25">
      <c r="A2730" s="631" t="s">
        <v>4374</v>
      </c>
      <c r="B2730" s="632" t="s">
        <v>3407</v>
      </c>
      <c r="C2730" s="632">
        <v>666</v>
      </c>
    </row>
    <row r="2731" spans="1:3" x14ac:dyDescent="0.25">
      <c r="A2731" s="631" t="s">
        <v>3408</v>
      </c>
      <c r="B2731" s="632" t="s">
        <v>3409</v>
      </c>
      <c r="C2731" s="632">
        <v>666</v>
      </c>
    </row>
    <row r="2732" spans="1:3" x14ac:dyDescent="0.25">
      <c r="A2732" s="631" t="s">
        <v>4375</v>
      </c>
      <c r="B2732" s="632" t="s">
        <v>3409</v>
      </c>
      <c r="C2732" s="632">
        <v>666</v>
      </c>
    </row>
    <row r="2733" spans="1:3" x14ac:dyDescent="0.25">
      <c r="A2733" s="631">
        <v>5725040</v>
      </c>
      <c r="B2733" s="632" t="s">
        <v>3410</v>
      </c>
      <c r="C2733" s="632">
        <v>836</v>
      </c>
    </row>
    <row r="2734" spans="1:3" x14ac:dyDescent="0.25">
      <c r="A2734" s="631" t="s">
        <v>3411</v>
      </c>
      <c r="B2734" s="632" t="s">
        <v>3412</v>
      </c>
      <c r="C2734" s="632">
        <v>666</v>
      </c>
    </row>
    <row r="2735" spans="1:3" x14ac:dyDescent="0.25">
      <c r="A2735" s="631" t="s">
        <v>4376</v>
      </c>
      <c r="B2735" s="632" t="s">
        <v>3412</v>
      </c>
      <c r="C2735" s="632">
        <v>666</v>
      </c>
    </row>
    <row r="2736" spans="1:3" x14ac:dyDescent="0.25">
      <c r="A2736" s="631">
        <v>5752420</v>
      </c>
      <c r="B2736" s="632" t="s">
        <v>3413</v>
      </c>
      <c r="C2736" s="632">
        <v>779</v>
      </c>
    </row>
    <row r="2737" spans="1:3" x14ac:dyDescent="0.25">
      <c r="A2737" s="631">
        <v>5752425</v>
      </c>
      <c r="B2737" s="632" t="s">
        <v>3414</v>
      </c>
      <c r="C2737" s="632">
        <v>779</v>
      </c>
    </row>
    <row r="2738" spans="1:3" x14ac:dyDescent="0.25">
      <c r="A2738" s="631">
        <v>5752434</v>
      </c>
      <c r="B2738" s="632" t="s">
        <v>3415</v>
      </c>
      <c r="C2738" s="632">
        <v>779</v>
      </c>
    </row>
    <row r="2739" spans="1:3" x14ac:dyDescent="0.25">
      <c r="A2739" s="631" t="s">
        <v>3416</v>
      </c>
      <c r="B2739" s="632" t="s">
        <v>3417</v>
      </c>
      <c r="C2739" s="632">
        <v>742</v>
      </c>
    </row>
    <row r="2740" spans="1:3" x14ac:dyDescent="0.25">
      <c r="A2740" s="631" t="s">
        <v>4377</v>
      </c>
      <c r="B2740" s="632" t="s">
        <v>3417</v>
      </c>
      <c r="C2740" s="632">
        <v>742</v>
      </c>
    </row>
    <row r="2741" spans="1:3" x14ac:dyDescent="0.25">
      <c r="A2741" s="631">
        <v>5752720</v>
      </c>
      <c r="B2741" s="632" t="s">
        <v>3418</v>
      </c>
      <c r="C2741" s="632">
        <v>779</v>
      </c>
    </row>
    <row r="2742" spans="1:3" x14ac:dyDescent="0.25">
      <c r="A2742" s="631">
        <v>5752725</v>
      </c>
      <c r="B2742" s="632" t="s">
        <v>3419</v>
      </c>
      <c r="C2742" s="632">
        <v>779</v>
      </c>
    </row>
    <row r="2743" spans="1:3" x14ac:dyDescent="0.25">
      <c r="A2743" s="631">
        <v>5752734</v>
      </c>
      <c r="B2743" s="632" t="s">
        <v>3420</v>
      </c>
      <c r="C2743" s="632">
        <v>779</v>
      </c>
    </row>
    <row r="2744" spans="1:3" x14ac:dyDescent="0.25">
      <c r="A2744" s="631">
        <v>5753034</v>
      </c>
      <c r="B2744" s="632" t="s">
        <v>3421</v>
      </c>
      <c r="C2744" s="632">
        <v>779</v>
      </c>
    </row>
    <row r="2745" spans="1:3" x14ac:dyDescent="0.25">
      <c r="A2745" s="631">
        <v>5753334</v>
      </c>
      <c r="B2745" s="632" t="s">
        <v>3422</v>
      </c>
      <c r="C2745" s="632">
        <v>779</v>
      </c>
    </row>
    <row r="2746" spans="1:3" x14ac:dyDescent="0.25">
      <c r="A2746" s="631">
        <v>5753335</v>
      </c>
      <c r="B2746" s="632" t="s">
        <v>3423</v>
      </c>
      <c r="C2746" s="632">
        <v>836</v>
      </c>
    </row>
    <row r="2747" spans="1:3" x14ac:dyDescent="0.25">
      <c r="A2747" s="631" t="s">
        <v>3424</v>
      </c>
      <c r="B2747" s="632" t="s">
        <v>3425</v>
      </c>
      <c r="C2747" s="632">
        <v>666</v>
      </c>
    </row>
    <row r="2748" spans="1:3" x14ac:dyDescent="0.25">
      <c r="A2748" s="631" t="s">
        <v>4378</v>
      </c>
      <c r="B2748" s="632" t="s">
        <v>3425</v>
      </c>
      <c r="C2748" s="632">
        <v>666</v>
      </c>
    </row>
    <row r="2749" spans="1:3" x14ac:dyDescent="0.25">
      <c r="A2749" s="631">
        <v>5753340</v>
      </c>
      <c r="B2749" s="632" t="s">
        <v>3426</v>
      </c>
      <c r="C2749" s="632">
        <v>836</v>
      </c>
    </row>
    <row r="2750" spans="1:3" x14ac:dyDescent="0.25">
      <c r="A2750" s="631" t="s">
        <v>3427</v>
      </c>
      <c r="B2750" s="632" t="s">
        <v>3428</v>
      </c>
      <c r="C2750" s="632">
        <v>666</v>
      </c>
    </row>
    <row r="2751" spans="1:3" x14ac:dyDescent="0.25">
      <c r="A2751" s="631" t="s">
        <v>4379</v>
      </c>
      <c r="B2751" s="632" t="s">
        <v>3428</v>
      </c>
      <c r="C2751" s="632">
        <v>666</v>
      </c>
    </row>
    <row r="2752" spans="1:3" x14ac:dyDescent="0.25">
      <c r="A2752" s="631">
        <v>5753635</v>
      </c>
      <c r="B2752" s="632" t="s">
        <v>3429</v>
      </c>
      <c r="C2752" s="632">
        <v>836</v>
      </c>
    </row>
    <row r="2753" spans="1:6" x14ac:dyDescent="0.25">
      <c r="A2753" s="631" t="s">
        <v>3430</v>
      </c>
      <c r="B2753" s="632" t="s">
        <v>3431</v>
      </c>
      <c r="C2753" s="632">
        <v>666</v>
      </c>
    </row>
    <row r="2754" spans="1:6" x14ac:dyDescent="0.25">
      <c r="A2754" s="631" t="s">
        <v>4380</v>
      </c>
      <c r="B2754" s="632" t="s">
        <v>3431</v>
      </c>
      <c r="C2754" s="632">
        <v>666</v>
      </c>
    </row>
    <row r="2755" spans="1:6" x14ac:dyDescent="0.25">
      <c r="A2755" s="633">
        <v>5753640</v>
      </c>
      <c r="B2755" s="632" t="s">
        <v>3432</v>
      </c>
      <c r="C2755" s="632">
        <v>836</v>
      </c>
      <c r="F2755">
        <v>5771036</v>
      </c>
    </row>
    <row r="2756" spans="1:6" x14ac:dyDescent="0.25">
      <c r="A2756" s="631" t="s">
        <v>3433</v>
      </c>
      <c r="B2756" s="632" t="s">
        <v>3434</v>
      </c>
      <c r="C2756" s="632">
        <v>666</v>
      </c>
    </row>
    <row r="2757" spans="1:6" x14ac:dyDescent="0.25">
      <c r="A2757" s="631" t="s">
        <v>4381</v>
      </c>
      <c r="B2757" s="632" t="s">
        <v>3434</v>
      </c>
      <c r="C2757" s="632">
        <v>666</v>
      </c>
    </row>
    <row r="2758" spans="1:6" x14ac:dyDescent="0.25">
      <c r="A2758" s="631">
        <v>5753935</v>
      </c>
      <c r="B2758" s="632" t="s">
        <v>3435</v>
      </c>
      <c r="C2758" s="632">
        <v>836</v>
      </c>
    </row>
    <row r="2759" spans="1:6" x14ac:dyDescent="0.25">
      <c r="A2759" s="631" t="s">
        <v>3436</v>
      </c>
      <c r="B2759" s="632" t="s">
        <v>3437</v>
      </c>
      <c r="C2759" s="632">
        <v>666</v>
      </c>
    </row>
    <row r="2760" spans="1:6" x14ac:dyDescent="0.25">
      <c r="A2760" s="631" t="s">
        <v>4382</v>
      </c>
      <c r="B2760" s="632" t="s">
        <v>3437</v>
      </c>
      <c r="C2760" s="632">
        <v>666</v>
      </c>
    </row>
    <row r="2761" spans="1:6" x14ac:dyDescent="0.25">
      <c r="A2761" s="631">
        <v>5753940</v>
      </c>
      <c r="B2761" s="632" t="s">
        <v>3438</v>
      </c>
      <c r="C2761" s="632">
        <v>836</v>
      </c>
    </row>
    <row r="2762" spans="1:6" x14ac:dyDescent="0.25">
      <c r="A2762" s="631" t="s">
        <v>3439</v>
      </c>
      <c r="B2762" s="632" t="s">
        <v>3440</v>
      </c>
      <c r="C2762" s="632">
        <v>666</v>
      </c>
    </row>
    <row r="2763" spans="1:6" x14ac:dyDescent="0.25">
      <c r="A2763" s="631" t="s">
        <v>4383</v>
      </c>
      <c r="B2763" s="632" t="s">
        <v>3440</v>
      </c>
      <c r="C2763" s="632">
        <v>666</v>
      </c>
    </row>
    <row r="2764" spans="1:6" x14ac:dyDescent="0.25">
      <c r="A2764" s="631">
        <v>5753945</v>
      </c>
      <c r="B2764" s="632" t="s">
        <v>3441</v>
      </c>
      <c r="C2764" s="632">
        <v>836</v>
      </c>
    </row>
    <row r="2765" spans="1:6" x14ac:dyDescent="0.25">
      <c r="A2765" s="631" t="s">
        <v>3442</v>
      </c>
      <c r="B2765" s="632" t="s">
        <v>3443</v>
      </c>
      <c r="C2765" s="632">
        <v>666</v>
      </c>
    </row>
    <row r="2766" spans="1:6" x14ac:dyDescent="0.25">
      <c r="A2766" s="631" t="s">
        <v>4384</v>
      </c>
      <c r="B2766" s="632" t="s">
        <v>3443</v>
      </c>
      <c r="C2766" s="632">
        <v>666</v>
      </c>
    </row>
    <row r="2767" spans="1:6" x14ac:dyDescent="0.25">
      <c r="A2767" s="631">
        <v>5754235</v>
      </c>
      <c r="B2767" s="632" t="s">
        <v>3444</v>
      </c>
      <c r="C2767" s="632">
        <v>836</v>
      </c>
    </row>
    <row r="2768" spans="1:6" x14ac:dyDescent="0.25">
      <c r="A2768" s="631" t="s">
        <v>3445</v>
      </c>
      <c r="B2768" s="632" t="s">
        <v>3446</v>
      </c>
      <c r="C2768" s="632">
        <v>666</v>
      </c>
    </row>
    <row r="2769" spans="1:3" x14ac:dyDescent="0.25">
      <c r="A2769" s="631" t="s">
        <v>4385</v>
      </c>
      <c r="B2769" s="632" t="s">
        <v>3446</v>
      </c>
      <c r="C2769" s="632">
        <v>666</v>
      </c>
    </row>
    <row r="2770" spans="1:3" x14ac:dyDescent="0.25">
      <c r="A2770" s="631">
        <v>5754240</v>
      </c>
      <c r="B2770" s="632" t="s">
        <v>3447</v>
      </c>
      <c r="C2770" s="632">
        <v>836</v>
      </c>
    </row>
    <row r="2771" spans="1:3" x14ac:dyDescent="0.25">
      <c r="A2771" s="631" t="s">
        <v>3448</v>
      </c>
      <c r="B2771" s="632" t="s">
        <v>3449</v>
      </c>
      <c r="C2771" s="632">
        <v>666</v>
      </c>
    </row>
    <row r="2772" spans="1:3" x14ac:dyDescent="0.25">
      <c r="A2772" s="631" t="s">
        <v>4386</v>
      </c>
      <c r="B2772" s="632" t="s">
        <v>3449</v>
      </c>
      <c r="C2772" s="632">
        <v>666</v>
      </c>
    </row>
    <row r="2773" spans="1:3" x14ac:dyDescent="0.25">
      <c r="A2773" s="631">
        <v>5754245</v>
      </c>
      <c r="B2773" s="632" t="s">
        <v>3450</v>
      </c>
      <c r="C2773" s="632">
        <v>836</v>
      </c>
    </row>
    <row r="2774" spans="1:3" x14ac:dyDescent="0.25">
      <c r="A2774" s="631" t="s">
        <v>3451</v>
      </c>
      <c r="B2774" s="632" t="s">
        <v>3452</v>
      </c>
      <c r="C2774" s="632">
        <v>666</v>
      </c>
    </row>
    <row r="2775" spans="1:3" x14ac:dyDescent="0.25">
      <c r="A2775" s="631" t="s">
        <v>4387</v>
      </c>
      <c r="B2775" s="632" t="s">
        <v>3452</v>
      </c>
      <c r="C2775" s="632">
        <v>666</v>
      </c>
    </row>
    <row r="2776" spans="1:3" x14ac:dyDescent="0.25">
      <c r="A2776" s="631">
        <v>5754535</v>
      </c>
      <c r="B2776" s="632" t="s">
        <v>3453</v>
      </c>
      <c r="C2776" s="632">
        <v>836</v>
      </c>
    </row>
    <row r="2777" spans="1:3" x14ac:dyDescent="0.25">
      <c r="A2777" s="631" t="s">
        <v>3454</v>
      </c>
      <c r="B2777" s="632" t="s">
        <v>3455</v>
      </c>
      <c r="C2777" s="632">
        <v>666</v>
      </c>
    </row>
    <row r="2778" spans="1:3" x14ac:dyDescent="0.25">
      <c r="A2778" s="631" t="s">
        <v>4388</v>
      </c>
      <c r="B2778" s="632" t="s">
        <v>3455</v>
      </c>
      <c r="C2778" s="632">
        <v>666</v>
      </c>
    </row>
    <row r="2779" spans="1:3" x14ac:dyDescent="0.25">
      <c r="A2779" s="631">
        <v>5754540</v>
      </c>
      <c r="B2779" s="632" t="s">
        <v>3456</v>
      </c>
      <c r="C2779" s="632">
        <v>836</v>
      </c>
    </row>
    <row r="2780" spans="1:3" x14ac:dyDescent="0.25">
      <c r="A2780" s="631" t="s">
        <v>3457</v>
      </c>
      <c r="B2780" s="632" t="s">
        <v>3458</v>
      </c>
      <c r="C2780" s="632">
        <v>666</v>
      </c>
    </row>
    <row r="2781" spans="1:3" x14ac:dyDescent="0.25">
      <c r="A2781" s="631" t="s">
        <v>4389</v>
      </c>
      <c r="B2781" s="632" t="s">
        <v>3458</v>
      </c>
      <c r="C2781" s="632">
        <v>666</v>
      </c>
    </row>
    <row r="2782" spans="1:3" x14ac:dyDescent="0.25">
      <c r="A2782" s="631">
        <v>5754545</v>
      </c>
      <c r="B2782" s="632" t="s">
        <v>3459</v>
      </c>
      <c r="C2782" s="632">
        <v>836</v>
      </c>
    </row>
    <row r="2783" spans="1:3" x14ac:dyDescent="0.25">
      <c r="A2783" s="631" t="s">
        <v>3460</v>
      </c>
      <c r="B2783" s="632" t="s">
        <v>3461</v>
      </c>
      <c r="C2783" s="632">
        <v>666</v>
      </c>
    </row>
    <row r="2784" spans="1:3" x14ac:dyDescent="0.25">
      <c r="A2784" s="631" t="s">
        <v>4390</v>
      </c>
      <c r="B2784" s="632" t="s">
        <v>3461</v>
      </c>
      <c r="C2784" s="632">
        <v>666</v>
      </c>
    </row>
    <row r="2785" spans="1:3" x14ac:dyDescent="0.25">
      <c r="A2785" s="631">
        <v>5754840</v>
      </c>
      <c r="B2785" s="632" t="s">
        <v>3462</v>
      </c>
      <c r="C2785" s="632">
        <v>742</v>
      </c>
    </row>
    <row r="2786" spans="1:3" x14ac:dyDescent="0.25">
      <c r="A2786" s="631" t="s">
        <v>3463</v>
      </c>
      <c r="B2786" s="632" t="s">
        <v>3407</v>
      </c>
      <c r="C2786" s="632">
        <v>666</v>
      </c>
    </row>
    <row r="2787" spans="1:3" x14ac:dyDescent="0.25">
      <c r="A2787" s="631" t="s">
        <v>4391</v>
      </c>
      <c r="B2787" s="632" t="s">
        <v>3407</v>
      </c>
      <c r="C2787" s="632">
        <v>666</v>
      </c>
    </row>
    <row r="2788" spans="1:3" x14ac:dyDescent="0.25">
      <c r="A2788" s="631">
        <v>5754845</v>
      </c>
      <c r="B2788" s="632" t="s">
        <v>3464</v>
      </c>
      <c r="C2788" s="632">
        <v>742</v>
      </c>
    </row>
    <row r="2789" spans="1:3" x14ac:dyDescent="0.25">
      <c r="A2789" s="631" t="s">
        <v>3465</v>
      </c>
      <c r="B2789" s="632" t="s">
        <v>3466</v>
      </c>
      <c r="C2789" s="632">
        <v>666</v>
      </c>
    </row>
    <row r="2790" spans="1:3" x14ac:dyDescent="0.25">
      <c r="A2790" s="631" t="s">
        <v>4392</v>
      </c>
      <c r="B2790" s="632" t="s">
        <v>3466</v>
      </c>
      <c r="C2790" s="632">
        <v>666</v>
      </c>
    </row>
    <row r="2791" spans="1:3" x14ac:dyDescent="0.25">
      <c r="A2791" s="631">
        <v>5755040</v>
      </c>
      <c r="B2791" s="632" t="s">
        <v>3467</v>
      </c>
      <c r="C2791" s="632">
        <v>836</v>
      </c>
    </row>
    <row r="2792" spans="1:3" x14ac:dyDescent="0.25">
      <c r="A2792" s="631" t="s">
        <v>3468</v>
      </c>
      <c r="B2792" s="632" t="s">
        <v>3469</v>
      </c>
      <c r="C2792" s="632">
        <v>666</v>
      </c>
    </row>
    <row r="2793" spans="1:3" x14ac:dyDescent="0.25">
      <c r="A2793" s="631" t="s">
        <v>4393</v>
      </c>
      <c r="B2793" s="632" t="s">
        <v>3469</v>
      </c>
      <c r="C2793" s="632">
        <v>666</v>
      </c>
    </row>
    <row r="2794" spans="1:3" x14ac:dyDescent="0.25">
      <c r="A2794" s="631">
        <v>5755045</v>
      </c>
      <c r="B2794" s="632" t="s">
        <v>3470</v>
      </c>
      <c r="C2794" s="632">
        <v>836</v>
      </c>
    </row>
    <row r="2795" spans="1:3" x14ac:dyDescent="0.25">
      <c r="A2795" s="631" t="s">
        <v>3471</v>
      </c>
      <c r="B2795" s="632" t="s">
        <v>3472</v>
      </c>
      <c r="C2795" s="632">
        <v>666</v>
      </c>
    </row>
    <row r="2796" spans="1:3" x14ac:dyDescent="0.25">
      <c r="A2796" s="631" t="s">
        <v>4394</v>
      </c>
      <c r="B2796" s="632" t="s">
        <v>3472</v>
      </c>
      <c r="C2796" s="632">
        <v>666</v>
      </c>
    </row>
    <row r="2797" spans="1:3" x14ac:dyDescent="0.25">
      <c r="A2797" s="631">
        <v>5770333</v>
      </c>
      <c r="B2797" s="632" t="s">
        <v>3473</v>
      </c>
      <c r="C2797" s="632">
        <v>389</v>
      </c>
    </row>
    <row r="2798" spans="1:3" x14ac:dyDescent="0.25">
      <c r="A2798" s="631">
        <v>5770339</v>
      </c>
      <c r="B2798" s="632" t="s">
        <v>3474</v>
      </c>
      <c r="C2798" s="632">
        <v>389</v>
      </c>
    </row>
    <row r="2799" spans="1:3" x14ac:dyDescent="0.25">
      <c r="A2799" s="631">
        <v>5770345</v>
      </c>
      <c r="B2799" s="632" t="s">
        <v>3475</v>
      </c>
      <c r="C2799" s="632">
        <v>389</v>
      </c>
    </row>
    <row r="2800" spans="1:3" x14ac:dyDescent="0.25">
      <c r="A2800" s="631">
        <v>5771027</v>
      </c>
      <c r="B2800" s="632" t="s">
        <v>3476</v>
      </c>
      <c r="C2800" s="632">
        <v>293</v>
      </c>
    </row>
    <row r="2801" spans="1:6" x14ac:dyDescent="0.25">
      <c r="A2801" s="631">
        <v>5771030</v>
      </c>
      <c r="B2801" s="632" t="s">
        <v>3477</v>
      </c>
      <c r="C2801" s="632">
        <v>293</v>
      </c>
    </row>
    <row r="2802" spans="1:6" x14ac:dyDescent="0.25">
      <c r="A2802" s="631">
        <v>5771033</v>
      </c>
      <c r="B2802" s="632" t="s">
        <v>3478</v>
      </c>
      <c r="C2802" s="632">
        <v>293</v>
      </c>
    </row>
    <row r="2803" spans="1:6" x14ac:dyDescent="0.25">
      <c r="A2803" s="633">
        <v>5771036</v>
      </c>
      <c r="B2803" s="632" t="s">
        <v>3479</v>
      </c>
      <c r="C2803" s="632">
        <v>293</v>
      </c>
      <c r="F2803">
        <v>4500000</v>
      </c>
    </row>
    <row r="2804" spans="1:6" x14ac:dyDescent="0.25">
      <c r="A2804" s="631">
        <v>5771039</v>
      </c>
      <c r="B2804" s="632" t="s">
        <v>3480</v>
      </c>
      <c r="C2804" s="632">
        <v>293</v>
      </c>
    </row>
    <row r="2805" spans="1:6" x14ac:dyDescent="0.25">
      <c r="A2805" s="631">
        <v>5771042</v>
      </c>
      <c r="B2805" s="632" t="s">
        <v>3481</v>
      </c>
      <c r="C2805" s="632">
        <v>293</v>
      </c>
    </row>
    <row r="2806" spans="1:6" x14ac:dyDescent="0.25">
      <c r="A2806" s="631">
        <v>5771045</v>
      </c>
      <c r="B2806" s="632" t="s">
        <v>3482</v>
      </c>
      <c r="C2806" s="632">
        <v>293</v>
      </c>
    </row>
    <row r="2807" spans="1:6" x14ac:dyDescent="0.25">
      <c r="A2807" s="631">
        <v>5771050</v>
      </c>
      <c r="B2807" s="632" t="s">
        <v>3483</v>
      </c>
      <c r="C2807" s="632">
        <v>293</v>
      </c>
    </row>
    <row r="2808" spans="1:6" x14ac:dyDescent="0.25">
      <c r="A2808" s="631">
        <v>5773335</v>
      </c>
      <c r="B2808" s="632" t="s">
        <v>3484</v>
      </c>
      <c r="C2808" s="632">
        <v>836</v>
      </c>
    </row>
    <row r="2809" spans="1:6" x14ac:dyDescent="0.25">
      <c r="A2809" s="631" t="s">
        <v>3485</v>
      </c>
      <c r="B2809" s="632" t="s">
        <v>3486</v>
      </c>
      <c r="C2809" s="632">
        <v>666</v>
      </c>
    </row>
    <row r="2810" spans="1:6" x14ac:dyDescent="0.25">
      <c r="A2810" s="631" t="s">
        <v>3487</v>
      </c>
      <c r="B2810" s="632" t="s">
        <v>3488</v>
      </c>
      <c r="C2810" s="632">
        <v>668</v>
      </c>
    </row>
    <row r="2811" spans="1:6" x14ac:dyDescent="0.25">
      <c r="A2811" s="631">
        <v>5773340</v>
      </c>
      <c r="B2811" s="632" t="s">
        <v>3489</v>
      </c>
      <c r="C2811" s="632">
        <v>836</v>
      </c>
    </row>
    <row r="2812" spans="1:6" x14ac:dyDescent="0.25">
      <c r="A2812" s="631" t="s">
        <v>3490</v>
      </c>
      <c r="B2812" s="632" t="s">
        <v>3491</v>
      </c>
      <c r="C2812" s="632">
        <v>666</v>
      </c>
    </row>
    <row r="2813" spans="1:6" x14ac:dyDescent="0.25">
      <c r="A2813" s="631" t="s">
        <v>3492</v>
      </c>
      <c r="B2813" s="632" t="s">
        <v>3493</v>
      </c>
      <c r="C2813" s="632">
        <v>668</v>
      </c>
    </row>
    <row r="2814" spans="1:6" x14ac:dyDescent="0.25">
      <c r="A2814" s="631">
        <v>5773635</v>
      </c>
      <c r="B2814" s="632" t="s">
        <v>3494</v>
      </c>
      <c r="C2814" s="632">
        <v>836</v>
      </c>
    </row>
    <row r="2815" spans="1:6" x14ac:dyDescent="0.25">
      <c r="A2815" s="631" t="s">
        <v>3495</v>
      </c>
      <c r="B2815" s="632" t="s">
        <v>3496</v>
      </c>
      <c r="C2815" s="632">
        <v>666</v>
      </c>
    </row>
    <row r="2816" spans="1:6" x14ac:dyDescent="0.25">
      <c r="A2816" s="631" t="s">
        <v>3497</v>
      </c>
      <c r="B2816" s="632" t="s">
        <v>3498</v>
      </c>
      <c r="C2816" s="632">
        <v>668</v>
      </c>
    </row>
    <row r="2817" spans="1:3" x14ac:dyDescent="0.25">
      <c r="A2817" s="631">
        <v>5773640</v>
      </c>
      <c r="B2817" s="632" t="s">
        <v>3499</v>
      </c>
      <c r="C2817" s="632">
        <v>836</v>
      </c>
    </row>
    <row r="2818" spans="1:3" x14ac:dyDescent="0.25">
      <c r="A2818" s="631" t="s">
        <v>3500</v>
      </c>
      <c r="B2818" s="632" t="s">
        <v>3501</v>
      </c>
      <c r="C2818" s="632">
        <v>666</v>
      </c>
    </row>
    <row r="2819" spans="1:3" x14ac:dyDescent="0.25">
      <c r="A2819" s="631" t="s">
        <v>3502</v>
      </c>
      <c r="B2819" s="632" t="s">
        <v>3503</v>
      </c>
      <c r="C2819" s="632">
        <v>668</v>
      </c>
    </row>
    <row r="2820" spans="1:3" x14ac:dyDescent="0.25">
      <c r="A2820" s="631">
        <v>5773935</v>
      </c>
      <c r="B2820" s="632" t="s">
        <v>3504</v>
      </c>
      <c r="C2820" s="632">
        <v>836</v>
      </c>
    </row>
    <row r="2821" spans="1:3" x14ac:dyDescent="0.25">
      <c r="A2821" s="631" t="s">
        <v>3505</v>
      </c>
      <c r="B2821" s="632" t="s">
        <v>3506</v>
      </c>
      <c r="C2821" s="632">
        <v>666</v>
      </c>
    </row>
    <row r="2822" spans="1:3" x14ac:dyDescent="0.25">
      <c r="A2822" s="631" t="s">
        <v>3507</v>
      </c>
      <c r="B2822" s="632" t="s">
        <v>3508</v>
      </c>
      <c r="C2822" s="632">
        <v>668</v>
      </c>
    </row>
    <row r="2823" spans="1:3" x14ac:dyDescent="0.25">
      <c r="A2823" s="631">
        <v>5773940</v>
      </c>
      <c r="B2823" s="632" t="s">
        <v>3509</v>
      </c>
      <c r="C2823" s="632">
        <v>836</v>
      </c>
    </row>
    <row r="2824" spans="1:3" x14ac:dyDescent="0.25">
      <c r="A2824" s="631" t="s">
        <v>3510</v>
      </c>
      <c r="B2824" s="632" t="s">
        <v>3511</v>
      </c>
      <c r="C2824" s="632">
        <v>666</v>
      </c>
    </row>
    <row r="2825" spans="1:3" x14ac:dyDescent="0.25">
      <c r="A2825" s="631" t="s">
        <v>3512</v>
      </c>
      <c r="B2825" s="632" t="s">
        <v>3513</v>
      </c>
      <c r="C2825" s="632">
        <v>668</v>
      </c>
    </row>
    <row r="2826" spans="1:3" x14ac:dyDescent="0.25">
      <c r="A2826" s="631">
        <v>5774235</v>
      </c>
      <c r="B2826" s="632" t="s">
        <v>3514</v>
      </c>
      <c r="C2826" s="632">
        <v>836</v>
      </c>
    </row>
    <row r="2827" spans="1:3" x14ac:dyDescent="0.25">
      <c r="A2827" s="631" t="s">
        <v>3515</v>
      </c>
      <c r="B2827" s="632" t="s">
        <v>3516</v>
      </c>
      <c r="C2827" s="632">
        <v>666</v>
      </c>
    </row>
    <row r="2828" spans="1:3" x14ac:dyDescent="0.25">
      <c r="A2828" s="631" t="s">
        <v>3517</v>
      </c>
      <c r="B2828" s="632" t="s">
        <v>3518</v>
      </c>
      <c r="C2828" s="632">
        <v>668</v>
      </c>
    </row>
    <row r="2829" spans="1:3" x14ac:dyDescent="0.25">
      <c r="A2829" s="631">
        <v>5774240</v>
      </c>
      <c r="B2829" s="632" t="s">
        <v>3519</v>
      </c>
      <c r="C2829" s="632">
        <v>836</v>
      </c>
    </row>
    <row r="2830" spans="1:3" x14ac:dyDescent="0.25">
      <c r="A2830" s="631" t="s">
        <v>3520</v>
      </c>
      <c r="B2830" s="632" t="s">
        <v>3521</v>
      </c>
      <c r="C2830" s="632">
        <v>666</v>
      </c>
    </row>
    <row r="2831" spans="1:3" x14ac:dyDescent="0.25">
      <c r="A2831" s="631" t="s">
        <v>3522</v>
      </c>
      <c r="B2831" s="632" t="s">
        <v>3523</v>
      </c>
      <c r="C2831" s="632">
        <v>668</v>
      </c>
    </row>
    <row r="2832" spans="1:3" x14ac:dyDescent="0.25">
      <c r="A2832" s="631">
        <v>5774535</v>
      </c>
      <c r="B2832" s="632" t="s">
        <v>3524</v>
      </c>
      <c r="C2832" s="632">
        <v>836</v>
      </c>
    </row>
    <row r="2833" spans="1:3" x14ac:dyDescent="0.25">
      <c r="A2833" s="631" t="s">
        <v>3525</v>
      </c>
      <c r="B2833" s="632" t="s">
        <v>3516</v>
      </c>
      <c r="C2833" s="632">
        <v>666</v>
      </c>
    </row>
    <row r="2834" spans="1:3" x14ac:dyDescent="0.25">
      <c r="A2834" s="631" t="s">
        <v>3526</v>
      </c>
      <c r="B2834" s="632" t="s">
        <v>3527</v>
      </c>
      <c r="C2834" s="632">
        <v>668</v>
      </c>
    </row>
    <row r="2835" spans="1:3" x14ac:dyDescent="0.25">
      <c r="A2835" s="631">
        <v>5774540</v>
      </c>
      <c r="B2835" s="632" t="s">
        <v>3528</v>
      </c>
      <c r="C2835" s="632">
        <v>836</v>
      </c>
    </row>
    <row r="2836" spans="1:3" x14ac:dyDescent="0.25">
      <c r="A2836" s="631" t="s">
        <v>3529</v>
      </c>
      <c r="B2836" s="632" t="s">
        <v>3530</v>
      </c>
      <c r="C2836" s="632">
        <v>666</v>
      </c>
    </row>
    <row r="2837" spans="1:3" x14ac:dyDescent="0.25">
      <c r="A2837" s="631" t="s">
        <v>3531</v>
      </c>
      <c r="B2837" s="632" t="s">
        <v>3532</v>
      </c>
      <c r="C2837" s="632">
        <v>668</v>
      </c>
    </row>
    <row r="2838" spans="1:3" x14ac:dyDescent="0.25">
      <c r="A2838" s="631" t="s">
        <v>3533</v>
      </c>
      <c r="B2838" s="632" t="s">
        <v>3534</v>
      </c>
      <c r="C2838" s="632">
        <v>4945</v>
      </c>
    </row>
    <row r="2839" spans="1:3" x14ac:dyDescent="0.25">
      <c r="A2839" s="631" t="s">
        <v>3535</v>
      </c>
      <c r="B2839" s="632" t="s">
        <v>3536</v>
      </c>
      <c r="C2839" s="632">
        <v>4945</v>
      </c>
    </row>
    <row r="2840" spans="1:3" x14ac:dyDescent="0.25">
      <c r="A2840" s="631" t="s">
        <v>3537</v>
      </c>
      <c r="B2840" s="632" t="s">
        <v>3538</v>
      </c>
      <c r="C2840" s="632">
        <v>4945</v>
      </c>
    </row>
    <row r="2841" spans="1:3" x14ac:dyDescent="0.25">
      <c r="A2841" s="631" t="s">
        <v>3539</v>
      </c>
      <c r="B2841" s="632" t="s">
        <v>3540</v>
      </c>
      <c r="C2841" s="632">
        <v>4945</v>
      </c>
    </row>
    <row r="2842" spans="1:3" x14ac:dyDescent="0.25">
      <c r="A2842" s="631" t="s">
        <v>3541</v>
      </c>
      <c r="B2842" s="632" t="s">
        <v>3542</v>
      </c>
      <c r="C2842" s="632">
        <v>4945</v>
      </c>
    </row>
    <row r="2843" spans="1:3" x14ac:dyDescent="0.25">
      <c r="A2843" s="631" t="s">
        <v>3543</v>
      </c>
      <c r="B2843" s="632" t="s">
        <v>3544</v>
      </c>
      <c r="C2843" s="632">
        <v>4945</v>
      </c>
    </row>
    <row r="2844" spans="1:3" x14ac:dyDescent="0.25">
      <c r="A2844" s="631" t="s">
        <v>3545</v>
      </c>
      <c r="B2844" s="632" t="s">
        <v>3546</v>
      </c>
      <c r="C2844" s="632">
        <v>5467</v>
      </c>
    </row>
    <row r="2845" spans="1:3" x14ac:dyDescent="0.25">
      <c r="A2845" s="631" t="s">
        <v>3547</v>
      </c>
      <c r="B2845" s="632" t="s">
        <v>3548</v>
      </c>
      <c r="C2845" s="632">
        <v>4945</v>
      </c>
    </row>
    <row r="2846" spans="1:3" x14ac:dyDescent="0.25">
      <c r="A2846" s="631" t="s">
        <v>3549</v>
      </c>
      <c r="B2846" s="632" t="s">
        <v>3550</v>
      </c>
      <c r="C2846" s="632">
        <v>4945</v>
      </c>
    </row>
    <row r="2847" spans="1:3" x14ac:dyDescent="0.25">
      <c r="A2847" s="631" t="s">
        <v>3551</v>
      </c>
      <c r="B2847" s="632" t="s">
        <v>3552</v>
      </c>
      <c r="C2847" s="632">
        <v>4945</v>
      </c>
    </row>
    <row r="2848" spans="1:3" x14ac:dyDescent="0.25">
      <c r="A2848" s="631" t="s">
        <v>3553</v>
      </c>
      <c r="B2848" s="632" t="s">
        <v>3554</v>
      </c>
      <c r="C2848" s="632">
        <v>4945</v>
      </c>
    </row>
    <row r="2849" spans="1:3" x14ac:dyDescent="0.25">
      <c r="A2849" s="631" t="s">
        <v>3555</v>
      </c>
      <c r="B2849" s="632" t="s">
        <v>3556</v>
      </c>
      <c r="C2849" s="632">
        <v>4945</v>
      </c>
    </row>
    <row r="2850" spans="1:3" x14ac:dyDescent="0.25">
      <c r="A2850" s="631" t="s">
        <v>3557</v>
      </c>
      <c r="B2850" s="632" t="s">
        <v>3558</v>
      </c>
      <c r="C2850" s="632">
        <v>4945</v>
      </c>
    </row>
    <row r="2851" spans="1:3" x14ac:dyDescent="0.25">
      <c r="A2851" s="631" t="s">
        <v>4395</v>
      </c>
      <c r="B2851" s="632" t="s">
        <v>4396</v>
      </c>
      <c r="C2851" s="632">
        <v>9088</v>
      </c>
    </row>
    <row r="2852" spans="1:3" x14ac:dyDescent="0.25">
      <c r="A2852" s="631" t="s">
        <v>4397</v>
      </c>
      <c r="B2852" s="632" t="s">
        <v>4396</v>
      </c>
      <c r="C2852" s="632">
        <v>9088</v>
      </c>
    </row>
    <row r="2853" spans="1:3" x14ac:dyDescent="0.25">
      <c r="A2853" s="631" t="s">
        <v>3559</v>
      </c>
      <c r="B2853" s="632" t="s">
        <v>3560</v>
      </c>
      <c r="C2853" s="632">
        <v>5824</v>
      </c>
    </row>
    <row r="2854" spans="1:3" x14ac:dyDescent="0.25">
      <c r="A2854" s="631" t="s">
        <v>4398</v>
      </c>
      <c r="B2854" s="632" t="s">
        <v>4399</v>
      </c>
      <c r="C2854" s="632">
        <v>9088</v>
      </c>
    </row>
    <row r="2855" spans="1:3" x14ac:dyDescent="0.25">
      <c r="A2855" s="631" t="s">
        <v>3561</v>
      </c>
      <c r="B2855" s="632" t="s">
        <v>3562</v>
      </c>
      <c r="C2855" s="632">
        <v>5824</v>
      </c>
    </row>
    <row r="2856" spans="1:3" x14ac:dyDescent="0.25">
      <c r="A2856" s="631" t="s">
        <v>4400</v>
      </c>
      <c r="B2856" s="632" t="s">
        <v>4401</v>
      </c>
      <c r="C2856" s="632">
        <v>9088</v>
      </c>
    </row>
    <row r="2857" spans="1:3" x14ac:dyDescent="0.25">
      <c r="A2857" s="631" t="s">
        <v>3563</v>
      </c>
      <c r="B2857" s="632" t="s">
        <v>3564</v>
      </c>
      <c r="C2857" s="632">
        <v>5824</v>
      </c>
    </row>
    <row r="2858" spans="1:3" x14ac:dyDescent="0.25">
      <c r="A2858" s="631" t="s">
        <v>4402</v>
      </c>
      <c r="B2858" s="632" t="s">
        <v>4403</v>
      </c>
      <c r="C2858" s="632">
        <v>9088</v>
      </c>
    </row>
    <row r="2859" spans="1:3" x14ac:dyDescent="0.25">
      <c r="A2859" s="631" t="s">
        <v>3565</v>
      </c>
      <c r="B2859" s="632" t="s">
        <v>3566</v>
      </c>
      <c r="C2859" s="632">
        <v>5824</v>
      </c>
    </row>
    <row r="2860" spans="1:3" x14ac:dyDescent="0.25">
      <c r="A2860" s="631" t="s">
        <v>4404</v>
      </c>
      <c r="B2860" s="632" t="s">
        <v>4405</v>
      </c>
      <c r="C2860" s="632">
        <v>9088</v>
      </c>
    </row>
    <row r="2861" spans="1:3" x14ac:dyDescent="0.25">
      <c r="A2861" s="631" t="s">
        <v>3567</v>
      </c>
      <c r="B2861" s="632" t="s">
        <v>3568</v>
      </c>
      <c r="C2861" s="632">
        <v>5824</v>
      </c>
    </row>
    <row r="2862" spans="1:3" x14ac:dyDescent="0.25">
      <c r="A2862" s="631" t="s">
        <v>3569</v>
      </c>
      <c r="B2862" s="632" t="s">
        <v>3570</v>
      </c>
      <c r="C2862" s="632">
        <v>5824</v>
      </c>
    </row>
    <row r="2863" spans="1:3" x14ac:dyDescent="0.25">
      <c r="A2863" s="631" t="s">
        <v>3571</v>
      </c>
      <c r="B2863" s="632" t="s">
        <v>3572</v>
      </c>
      <c r="C2863" s="632">
        <v>5824</v>
      </c>
    </row>
    <row r="2864" spans="1:3" x14ac:dyDescent="0.25">
      <c r="A2864" s="631" t="s">
        <v>3573</v>
      </c>
      <c r="B2864" s="632" t="s">
        <v>3574</v>
      </c>
      <c r="C2864" s="632">
        <v>5824</v>
      </c>
    </row>
    <row r="2865" spans="1:3" x14ac:dyDescent="0.25">
      <c r="A2865" s="631" t="s">
        <v>3575</v>
      </c>
      <c r="B2865" s="632" t="s">
        <v>3576</v>
      </c>
      <c r="C2865" s="632">
        <v>5824</v>
      </c>
    </row>
    <row r="2866" spans="1:3" x14ac:dyDescent="0.25">
      <c r="A2866" s="631" t="s">
        <v>3577</v>
      </c>
      <c r="B2866" s="632" t="s">
        <v>3578</v>
      </c>
      <c r="C2866" s="632">
        <v>5824</v>
      </c>
    </row>
    <row r="2867" spans="1:3" x14ac:dyDescent="0.25">
      <c r="A2867" s="631" t="s">
        <v>3579</v>
      </c>
      <c r="B2867" s="632" t="s">
        <v>3580</v>
      </c>
      <c r="C2867" s="632">
        <v>5824</v>
      </c>
    </row>
    <row r="2868" spans="1:3" x14ac:dyDescent="0.25">
      <c r="A2868" s="631" t="s">
        <v>3581</v>
      </c>
      <c r="B2868" s="632" t="s">
        <v>3582</v>
      </c>
      <c r="C2868" s="632">
        <v>5824</v>
      </c>
    </row>
    <row r="2869" spans="1:3" x14ac:dyDescent="0.25">
      <c r="A2869" s="631" t="s">
        <v>3583</v>
      </c>
      <c r="B2869" s="632" t="s">
        <v>3584</v>
      </c>
      <c r="C2869" s="632">
        <v>5824</v>
      </c>
    </row>
    <row r="2870" spans="1:3" x14ac:dyDescent="0.25">
      <c r="A2870" s="631" t="s">
        <v>3585</v>
      </c>
      <c r="B2870" s="632" t="s">
        <v>3586</v>
      </c>
      <c r="C2870" s="632">
        <v>5824</v>
      </c>
    </row>
    <row r="2871" spans="1:3" x14ac:dyDescent="0.25">
      <c r="A2871" s="631" t="s">
        <v>3587</v>
      </c>
      <c r="B2871" s="632" t="s">
        <v>3588</v>
      </c>
      <c r="C2871" s="632">
        <v>5824</v>
      </c>
    </row>
    <row r="2872" spans="1:3" x14ac:dyDescent="0.25">
      <c r="A2872" s="631" t="s">
        <v>3589</v>
      </c>
      <c r="B2872" s="632" t="s">
        <v>3590</v>
      </c>
      <c r="C2872" s="632">
        <v>6438</v>
      </c>
    </row>
    <row r="2873" spans="1:3" x14ac:dyDescent="0.25">
      <c r="A2873" s="631" t="s">
        <v>3591</v>
      </c>
      <c r="B2873" s="632" t="s">
        <v>3592</v>
      </c>
      <c r="C2873" s="632">
        <v>6438</v>
      </c>
    </row>
    <row r="2874" spans="1:3" x14ac:dyDescent="0.25">
      <c r="A2874" s="631" t="s">
        <v>3593</v>
      </c>
      <c r="B2874" s="632" t="s">
        <v>3594</v>
      </c>
      <c r="C2874" s="632">
        <v>6438</v>
      </c>
    </row>
    <row r="2875" spans="1:3" x14ac:dyDescent="0.25">
      <c r="A2875" s="631" t="s">
        <v>3595</v>
      </c>
      <c r="B2875" s="632" t="s">
        <v>3596</v>
      </c>
      <c r="C2875" s="632">
        <v>6438</v>
      </c>
    </row>
    <row r="2876" spans="1:3" x14ac:dyDescent="0.25">
      <c r="A2876" s="631" t="s">
        <v>3597</v>
      </c>
      <c r="B2876" s="632" t="s">
        <v>3598</v>
      </c>
      <c r="C2876" s="632">
        <v>6438</v>
      </c>
    </row>
    <row r="2877" spans="1:3" x14ac:dyDescent="0.25">
      <c r="A2877" s="631" t="s">
        <v>3599</v>
      </c>
      <c r="B2877" s="632" t="s">
        <v>3600</v>
      </c>
      <c r="C2877" s="632">
        <v>6438</v>
      </c>
    </row>
    <row r="2878" spans="1:3" x14ac:dyDescent="0.25">
      <c r="A2878" s="631" t="s">
        <v>3601</v>
      </c>
      <c r="B2878" s="632" t="s">
        <v>3602</v>
      </c>
      <c r="C2878" s="632">
        <v>6438</v>
      </c>
    </row>
    <row r="2879" spans="1:3" x14ac:dyDescent="0.25">
      <c r="A2879" s="631" t="s">
        <v>3603</v>
      </c>
      <c r="B2879" s="632" t="s">
        <v>3604</v>
      </c>
      <c r="C2879" s="632">
        <v>6438</v>
      </c>
    </row>
    <row r="2880" spans="1:3" x14ac:dyDescent="0.25">
      <c r="A2880" s="631" t="s">
        <v>3605</v>
      </c>
      <c r="B2880" s="632" t="s">
        <v>3606</v>
      </c>
      <c r="C2880" s="632">
        <v>6438</v>
      </c>
    </row>
    <row r="2881" spans="1:3" x14ac:dyDescent="0.25">
      <c r="A2881" s="631" t="s">
        <v>3607</v>
      </c>
      <c r="B2881" s="632" t="s">
        <v>3608</v>
      </c>
      <c r="C2881" s="632">
        <v>6438</v>
      </c>
    </row>
    <row r="2882" spans="1:3" x14ac:dyDescent="0.25">
      <c r="A2882" s="631" t="s">
        <v>3609</v>
      </c>
      <c r="B2882" s="632" t="s">
        <v>3610</v>
      </c>
      <c r="C2882" s="632">
        <v>6938</v>
      </c>
    </row>
    <row r="2883" spans="1:3" x14ac:dyDescent="0.25">
      <c r="A2883" s="631" t="s">
        <v>3611</v>
      </c>
      <c r="B2883" s="632" t="s">
        <v>3612</v>
      </c>
      <c r="C2883" s="632">
        <v>4785</v>
      </c>
    </row>
    <row r="2884" spans="1:3" x14ac:dyDescent="0.25">
      <c r="A2884" s="631" t="s">
        <v>3614</v>
      </c>
      <c r="B2884" s="632" t="s">
        <v>3615</v>
      </c>
      <c r="C2884" s="632">
        <v>7231</v>
      </c>
    </row>
    <row r="2885" spans="1:3" x14ac:dyDescent="0.25">
      <c r="A2885" s="631" t="s">
        <v>3616</v>
      </c>
      <c r="B2885" s="632" t="s">
        <v>3617</v>
      </c>
      <c r="C2885" s="632">
        <v>7231</v>
      </c>
    </row>
    <row r="2886" spans="1:3" x14ac:dyDescent="0.25">
      <c r="A2886" s="631" t="s">
        <v>3618</v>
      </c>
      <c r="B2886" s="632" t="s">
        <v>3619</v>
      </c>
      <c r="C2886" s="632">
        <v>7231</v>
      </c>
    </row>
    <row r="2887" spans="1:3" x14ac:dyDescent="0.25">
      <c r="A2887" s="631" t="s">
        <v>3620</v>
      </c>
      <c r="B2887" s="632" t="s">
        <v>3621</v>
      </c>
      <c r="C2887" s="632">
        <v>7333</v>
      </c>
    </row>
    <row r="2888" spans="1:3" x14ac:dyDescent="0.25">
      <c r="A2888" s="631" t="s">
        <v>3622</v>
      </c>
      <c r="B2888" s="632" t="s">
        <v>3623</v>
      </c>
      <c r="C2888" s="632">
        <v>7231</v>
      </c>
    </row>
    <row r="2889" spans="1:3" x14ac:dyDescent="0.25">
      <c r="A2889" s="631" t="s">
        <v>3624</v>
      </c>
      <c r="B2889" s="632" t="s">
        <v>3625</v>
      </c>
      <c r="C2889" s="632">
        <v>7231</v>
      </c>
    </row>
    <row r="2890" spans="1:3" x14ac:dyDescent="0.25">
      <c r="A2890" s="631" t="s">
        <v>3626</v>
      </c>
      <c r="B2890" s="632" t="s">
        <v>3615</v>
      </c>
      <c r="C2890" s="632">
        <v>7226</v>
      </c>
    </row>
    <row r="2891" spans="1:3" x14ac:dyDescent="0.25">
      <c r="A2891" s="631" t="s">
        <v>3627</v>
      </c>
      <c r="B2891" s="632" t="s">
        <v>3628</v>
      </c>
      <c r="C2891" s="632">
        <v>4748</v>
      </c>
    </row>
    <row r="2892" spans="1:3" x14ac:dyDescent="0.25">
      <c r="A2892" s="631" t="s">
        <v>3629</v>
      </c>
      <c r="B2892" s="632" t="s">
        <v>3617</v>
      </c>
      <c r="C2892" s="632">
        <v>7226</v>
      </c>
    </row>
    <row r="2893" spans="1:3" x14ac:dyDescent="0.25">
      <c r="A2893" s="631" t="s">
        <v>3630</v>
      </c>
      <c r="B2893" s="632" t="s">
        <v>3631</v>
      </c>
      <c r="C2893" s="632">
        <v>4748</v>
      </c>
    </row>
    <row r="2894" spans="1:3" x14ac:dyDescent="0.25">
      <c r="A2894" s="631" t="s">
        <v>3632</v>
      </c>
      <c r="B2894" s="632" t="s">
        <v>3619</v>
      </c>
      <c r="C2894" s="632">
        <v>7226</v>
      </c>
    </row>
    <row r="2895" spans="1:3" x14ac:dyDescent="0.25">
      <c r="A2895" s="631" t="s">
        <v>3633</v>
      </c>
      <c r="B2895" s="632" t="s">
        <v>3634</v>
      </c>
      <c r="C2895" s="632">
        <v>4748</v>
      </c>
    </row>
    <row r="2896" spans="1:3" x14ac:dyDescent="0.25">
      <c r="A2896" s="631" t="s">
        <v>3635</v>
      </c>
      <c r="B2896" s="632" t="s">
        <v>3623</v>
      </c>
      <c r="C2896" s="632">
        <v>7226</v>
      </c>
    </row>
    <row r="2897" spans="1:3" x14ac:dyDescent="0.25">
      <c r="A2897" s="631" t="s">
        <v>3636</v>
      </c>
      <c r="B2897" s="632" t="s">
        <v>3637</v>
      </c>
      <c r="C2897" s="632">
        <v>4748</v>
      </c>
    </row>
    <row r="2898" spans="1:3" x14ac:dyDescent="0.25">
      <c r="A2898" s="631" t="s">
        <v>3638</v>
      </c>
      <c r="B2898" s="632" t="s">
        <v>3625</v>
      </c>
      <c r="C2898" s="632">
        <v>7226</v>
      </c>
    </row>
    <row r="2899" spans="1:3" x14ac:dyDescent="0.25">
      <c r="A2899" s="631" t="s">
        <v>3639</v>
      </c>
      <c r="B2899" s="632" t="s">
        <v>3640</v>
      </c>
      <c r="C2899" s="632">
        <v>4748</v>
      </c>
    </row>
    <row r="2900" spans="1:3" x14ac:dyDescent="0.25">
      <c r="A2900" s="631" t="s">
        <v>3641</v>
      </c>
      <c r="B2900" s="632" t="s">
        <v>3642</v>
      </c>
      <c r="C2900" s="632">
        <v>4945</v>
      </c>
    </row>
    <row r="2901" spans="1:3" x14ac:dyDescent="0.25">
      <c r="A2901" s="631" t="s">
        <v>3643</v>
      </c>
      <c r="B2901" s="632" t="s">
        <v>3644</v>
      </c>
      <c r="C2901" s="632">
        <v>4945</v>
      </c>
    </row>
    <row r="2902" spans="1:3" x14ac:dyDescent="0.25">
      <c r="A2902" s="631" t="s">
        <v>3645</v>
      </c>
      <c r="B2902" s="632" t="s">
        <v>3646</v>
      </c>
      <c r="C2902" s="632">
        <v>4945</v>
      </c>
    </row>
    <row r="2903" spans="1:3" x14ac:dyDescent="0.25">
      <c r="A2903" s="631" t="s">
        <v>3647</v>
      </c>
      <c r="B2903" s="632" t="s">
        <v>3648</v>
      </c>
      <c r="C2903" s="632">
        <v>4945</v>
      </c>
    </row>
    <row r="2904" spans="1:3" x14ac:dyDescent="0.25">
      <c r="A2904" s="631" t="s">
        <v>3649</v>
      </c>
      <c r="B2904" s="632" t="s">
        <v>3650</v>
      </c>
      <c r="C2904" s="632">
        <v>4945</v>
      </c>
    </row>
    <row r="2905" spans="1:3" x14ac:dyDescent="0.25">
      <c r="A2905" s="631" t="s">
        <v>3651</v>
      </c>
      <c r="B2905" s="632" t="s">
        <v>3652</v>
      </c>
      <c r="C2905" s="632">
        <v>4945</v>
      </c>
    </row>
    <row r="2906" spans="1:3" x14ac:dyDescent="0.25">
      <c r="A2906" s="631" t="s">
        <v>3653</v>
      </c>
      <c r="B2906" s="632" t="s">
        <v>3654</v>
      </c>
      <c r="C2906" s="632">
        <v>5467</v>
      </c>
    </row>
    <row r="2907" spans="1:3" x14ac:dyDescent="0.25">
      <c r="A2907" s="631" t="s">
        <v>3655</v>
      </c>
      <c r="B2907" s="632" t="s">
        <v>3656</v>
      </c>
      <c r="C2907" s="632">
        <v>5467</v>
      </c>
    </row>
    <row r="2908" spans="1:3" x14ac:dyDescent="0.25">
      <c r="A2908" s="631" t="s">
        <v>3657</v>
      </c>
      <c r="B2908" s="632" t="s">
        <v>3658</v>
      </c>
      <c r="C2908" s="632">
        <v>5467</v>
      </c>
    </row>
    <row r="2909" spans="1:3" x14ac:dyDescent="0.25">
      <c r="A2909" s="631" t="s">
        <v>3659</v>
      </c>
      <c r="B2909" s="632" t="s">
        <v>3660</v>
      </c>
      <c r="C2909" s="632">
        <v>5467</v>
      </c>
    </row>
    <row r="2910" spans="1:3" x14ac:dyDescent="0.25">
      <c r="A2910" s="631" t="s">
        <v>3661</v>
      </c>
      <c r="B2910" s="632" t="s">
        <v>3662</v>
      </c>
      <c r="C2910" s="632">
        <v>5467</v>
      </c>
    </row>
    <row r="2911" spans="1:3" x14ac:dyDescent="0.25">
      <c r="A2911" s="631" t="s">
        <v>3663</v>
      </c>
      <c r="B2911" s="632" t="s">
        <v>3664</v>
      </c>
      <c r="C2911" s="632">
        <v>5467</v>
      </c>
    </row>
    <row r="2912" spans="1:3" x14ac:dyDescent="0.25">
      <c r="A2912" s="631" t="s">
        <v>3665</v>
      </c>
      <c r="B2912" s="632" t="s">
        <v>3666</v>
      </c>
      <c r="C2912" s="632">
        <v>7231</v>
      </c>
    </row>
    <row r="2913" spans="1:3" x14ac:dyDescent="0.25">
      <c r="A2913" s="631" t="s">
        <v>3667</v>
      </c>
      <c r="B2913" s="632" t="s">
        <v>3666</v>
      </c>
      <c r="C2913" s="632">
        <v>7226</v>
      </c>
    </row>
    <row r="2914" spans="1:3" x14ac:dyDescent="0.25">
      <c r="A2914" s="631" t="s">
        <v>3668</v>
      </c>
      <c r="B2914" s="632" t="s">
        <v>3669</v>
      </c>
      <c r="C2914" s="632">
        <v>4748</v>
      </c>
    </row>
    <row r="2915" spans="1:3" x14ac:dyDescent="0.25">
      <c r="A2915" s="631" t="s">
        <v>3670</v>
      </c>
      <c r="B2915" s="632" t="s">
        <v>3671</v>
      </c>
      <c r="C2915" s="632">
        <v>7231</v>
      </c>
    </row>
    <row r="2916" spans="1:3" x14ac:dyDescent="0.25">
      <c r="A2916" s="631" t="s">
        <v>3672</v>
      </c>
      <c r="B2916" s="632" t="s">
        <v>3673</v>
      </c>
      <c r="C2916" s="632">
        <v>4748</v>
      </c>
    </row>
    <row r="2917" spans="1:3" x14ac:dyDescent="0.25">
      <c r="A2917" s="631" t="s">
        <v>3674</v>
      </c>
      <c r="B2917" s="632" t="s">
        <v>3675</v>
      </c>
      <c r="C2917" s="632">
        <v>7231</v>
      </c>
    </row>
    <row r="2918" spans="1:3" x14ac:dyDescent="0.25">
      <c r="A2918" s="631" t="s">
        <v>3676</v>
      </c>
      <c r="B2918" s="632" t="s">
        <v>3675</v>
      </c>
      <c r="C2918" s="632">
        <v>7226</v>
      </c>
    </row>
    <row r="2919" spans="1:3" x14ac:dyDescent="0.25">
      <c r="A2919" s="631" t="s">
        <v>3677</v>
      </c>
      <c r="B2919" s="632" t="s">
        <v>3678</v>
      </c>
      <c r="C2919" s="632">
        <v>4748</v>
      </c>
    </row>
    <row r="2920" spans="1:3" x14ac:dyDescent="0.25">
      <c r="A2920" s="631" t="s">
        <v>3679</v>
      </c>
      <c r="B2920" s="632" t="s">
        <v>3680</v>
      </c>
      <c r="C2920" s="632">
        <v>7231</v>
      </c>
    </row>
    <row r="2921" spans="1:3" x14ac:dyDescent="0.25">
      <c r="A2921" s="631" t="s">
        <v>3681</v>
      </c>
      <c r="B2921" s="632" t="s">
        <v>3680</v>
      </c>
      <c r="C2921" s="632">
        <v>7226</v>
      </c>
    </row>
    <row r="2922" spans="1:3" x14ac:dyDescent="0.25">
      <c r="A2922" s="631" t="s">
        <v>3682</v>
      </c>
      <c r="B2922" s="632" t="s">
        <v>3683</v>
      </c>
      <c r="C2922" s="632">
        <v>4748</v>
      </c>
    </row>
    <row r="2923" spans="1:3" x14ac:dyDescent="0.25">
      <c r="A2923" s="631" t="s">
        <v>3684</v>
      </c>
      <c r="B2923" s="632" t="s">
        <v>3685</v>
      </c>
      <c r="C2923" s="632">
        <v>7231</v>
      </c>
    </row>
    <row r="2924" spans="1:3" x14ac:dyDescent="0.25">
      <c r="A2924" s="631" t="s">
        <v>3686</v>
      </c>
      <c r="B2924" s="632" t="s">
        <v>3685</v>
      </c>
      <c r="C2924" s="632">
        <v>7226</v>
      </c>
    </row>
    <row r="2925" spans="1:3" x14ac:dyDescent="0.25">
      <c r="A2925" s="631" t="s">
        <v>3687</v>
      </c>
      <c r="B2925" s="632" t="s">
        <v>3688</v>
      </c>
      <c r="C2925" s="632">
        <v>4748</v>
      </c>
    </row>
    <row r="2926" spans="1:3" x14ac:dyDescent="0.25">
      <c r="A2926" s="631" t="s">
        <v>3689</v>
      </c>
      <c r="B2926" s="632" t="s">
        <v>3690</v>
      </c>
      <c r="C2926" s="632">
        <v>5467</v>
      </c>
    </row>
    <row r="2927" spans="1:3" x14ac:dyDescent="0.25">
      <c r="A2927" s="631" t="s">
        <v>3691</v>
      </c>
      <c r="B2927" s="632" t="s">
        <v>3692</v>
      </c>
      <c r="C2927" s="632">
        <v>5467</v>
      </c>
    </row>
    <row r="2928" spans="1:3" x14ac:dyDescent="0.25">
      <c r="A2928" s="631" t="s">
        <v>3693</v>
      </c>
      <c r="B2928" s="632" t="s">
        <v>3694</v>
      </c>
      <c r="C2928" s="632">
        <v>5467</v>
      </c>
    </row>
    <row r="2929" spans="1:3" x14ac:dyDescent="0.25">
      <c r="A2929" s="631" t="s">
        <v>3695</v>
      </c>
      <c r="B2929" s="632" t="s">
        <v>3696</v>
      </c>
      <c r="C2929" s="632">
        <v>5467</v>
      </c>
    </row>
    <row r="2930" spans="1:3" x14ac:dyDescent="0.25">
      <c r="A2930" s="631" t="s">
        <v>3697</v>
      </c>
      <c r="B2930" s="632" t="s">
        <v>3698</v>
      </c>
      <c r="C2930" s="632">
        <v>5467</v>
      </c>
    </row>
    <row r="2931" spans="1:3" x14ac:dyDescent="0.25">
      <c r="A2931" s="631" t="s">
        <v>3699</v>
      </c>
      <c r="B2931" s="632" t="s">
        <v>3700</v>
      </c>
      <c r="C2931" s="632">
        <v>5467</v>
      </c>
    </row>
    <row r="2932" spans="1:3" x14ac:dyDescent="0.25">
      <c r="A2932" s="631">
        <v>6000105</v>
      </c>
      <c r="B2932" s="632" t="s">
        <v>3701</v>
      </c>
      <c r="C2932" s="632">
        <v>29</v>
      </c>
    </row>
    <row r="2933" spans="1:3" x14ac:dyDescent="0.25">
      <c r="A2933" s="631">
        <v>6000106</v>
      </c>
      <c r="B2933" s="632" t="s">
        <v>3702</v>
      </c>
      <c r="C2933" s="632">
        <v>25</v>
      </c>
    </row>
    <row r="2934" spans="1:3" x14ac:dyDescent="0.25">
      <c r="A2934" s="631">
        <v>6002425</v>
      </c>
      <c r="B2934" s="632" t="s">
        <v>3703</v>
      </c>
      <c r="C2934" s="632">
        <v>7</v>
      </c>
    </row>
    <row r="2935" spans="1:3" x14ac:dyDescent="0.25">
      <c r="A2935" s="631">
        <v>6002511</v>
      </c>
      <c r="B2935" s="632" t="s">
        <v>3704</v>
      </c>
      <c r="C2935" s="632">
        <v>12</v>
      </c>
    </row>
    <row r="2936" spans="1:3" x14ac:dyDescent="0.25">
      <c r="A2936" s="631">
        <v>6002517</v>
      </c>
      <c r="B2936" s="632" t="s">
        <v>3705</v>
      </c>
      <c r="C2936" s="632">
        <v>7</v>
      </c>
    </row>
    <row r="2937" spans="1:3" x14ac:dyDescent="0.25">
      <c r="A2937" s="631" t="s">
        <v>3706</v>
      </c>
      <c r="B2937" s="632" t="s">
        <v>3707</v>
      </c>
      <c r="C2937" s="632">
        <v>16</v>
      </c>
    </row>
    <row r="2938" spans="1:3" x14ac:dyDescent="0.25">
      <c r="A2938" s="631">
        <v>6002530</v>
      </c>
      <c r="B2938" s="632" t="s">
        <v>3708</v>
      </c>
      <c r="C2938" s="632">
        <v>12</v>
      </c>
    </row>
    <row r="2939" spans="1:3" x14ac:dyDescent="0.25">
      <c r="A2939" s="631">
        <v>6002531</v>
      </c>
      <c r="B2939" s="632" t="s">
        <v>3709</v>
      </c>
      <c r="C2939" s="632">
        <v>15</v>
      </c>
    </row>
    <row r="2940" spans="1:3" x14ac:dyDescent="0.25">
      <c r="A2940" s="631">
        <v>6002537</v>
      </c>
      <c r="B2940" s="632" t="s">
        <v>3710</v>
      </c>
      <c r="C2940" s="632">
        <v>12</v>
      </c>
    </row>
    <row r="2941" spans="1:3" x14ac:dyDescent="0.25">
      <c r="A2941" s="631">
        <v>6002541</v>
      </c>
      <c r="B2941" s="632" t="s">
        <v>3711</v>
      </c>
      <c r="C2941" s="632">
        <v>15</v>
      </c>
    </row>
    <row r="2942" spans="1:3" x14ac:dyDescent="0.25">
      <c r="A2942" s="631">
        <v>6002551</v>
      </c>
      <c r="B2942" s="632" t="s">
        <v>3712</v>
      </c>
      <c r="C2942" s="632">
        <v>15</v>
      </c>
    </row>
    <row r="2943" spans="1:3" x14ac:dyDescent="0.25">
      <c r="A2943" s="631">
        <v>6002561</v>
      </c>
      <c r="B2943" s="632" t="s">
        <v>3713</v>
      </c>
      <c r="C2943" s="632">
        <v>15</v>
      </c>
    </row>
    <row r="2944" spans="1:3" x14ac:dyDescent="0.25">
      <c r="A2944" s="631">
        <v>6002562</v>
      </c>
      <c r="B2944" s="632" t="s">
        <v>3714</v>
      </c>
      <c r="C2944" s="632">
        <v>12</v>
      </c>
    </row>
    <row r="2945" spans="1:3" x14ac:dyDescent="0.25">
      <c r="A2945" s="631">
        <v>6002571</v>
      </c>
      <c r="B2945" s="632" t="s">
        <v>3715</v>
      </c>
      <c r="C2945" s="632">
        <v>15</v>
      </c>
    </row>
    <row r="2946" spans="1:3" x14ac:dyDescent="0.25">
      <c r="A2946" s="631">
        <v>6002581</v>
      </c>
      <c r="B2946" s="632" t="s">
        <v>3716</v>
      </c>
      <c r="C2946" s="632">
        <v>15</v>
      </c>
    </row>
    <row r="2947" spans="1:3" x14ac:dyDescent="0.25">
      <c r="A2947" s="631">
        <v>6002591</v>
      </c>
      <c r="B2947" s="632" t="s">
        <v>3717</v>
      </c>
      <c r="C2947" s="632">
        <v>15</v>
      </c>
    </row>
    <row r="2948" spans="1:3" x14ac:dyDescent="0.25">
      <c r="A2948" s="631">
        <v>6002592</v>
      </c>
      <c r="B2948" s="632" t="s">
        <v>3718</v>
      </c>
      <c r="C2948" s="632">
        <v>28</v>
      </c>
    </row>
    <row r="2949" spans="1:3" x14ac:dyDescent="0.25">
      <c r="A2949" s="631">
        <v>6002593</v>
      </c>
      <c r="B2949" s="632" t="s">
        <v>3719</v>
      </c>
      <c r="C2949" s="632">
        <v>28</v>
      </c>
    </row>
    <row r="2950" spans="1:3" x14ac:dyDescent="0.25">
      <c r="A2950" s="631">
        <v>6002612</v>
      </c>
      <c r="B2950" s="632" t="s">
        <v>3720</v>
      </c>
      <c r="C2950" s="632">
        <v>7</v>
      </c>
    </row>
    <row r="2951" spans="1:3" x14ac:dyDescent="0.25">
      <c r="A2951" s="631">
        <v>6002615</v>
      </c>
      <c r="B2951" s="632" t="s">
        <v>3721</v>
      </c>
      <c r="C2951" s="632">
        <v>6</v>
      </c>
    </row>
    <row r="2952" spans="1:3" x14ac:dyDescent="0.25">
      <c r="A2952" s="631">
        <v>6002619</v>
      </c>
      <c r="B2952" s="632" t="s">
        <v>3722</v>
      </c>
      <c r="C2952" s="632">
        <v>8</v>
      </c>
    </row>
    <row r="2953" spans="1:3" x14ac:dyDescent="0.25">
      <c r="A2953" s="631">
        <v>6002620</v>
      </c>
      <c r="B2953" s="632" t="s">
        <v>3723</v>
      </c>
      <c r="C2953" s="632">
        <v>7</v>
      </c>
    </row>
    <row r="2954" spans="1:3" x14ac:dyDescent="0.25">
      <c r="A2954" s="631">
        <v>6002621</v>
      </c>
      <c r="B2954" s="632" t="s">
        <v>3724</v>
      </c>
      <c r="C2954" s="632">
        <v>7</v>
      </c>
    </row>
    <row r="2955" spans="1:3" x14ac:dyDescent="0.25">
      <c r="A2955" s="631" t="s">
        <v>3725</v>
      </c>
      <c r="B2955" s="632" t="s">
        <v>3726</v>
      </c>
      <c r="C2955" s="632">
        <v>6</v>
      </c>
    </row>
    <row r="2956" spans="1:3" x14ac:dyDescent="0.25">
      <c r="A2956" s="631">
        <v>6002627</v>
      </c>
      <c r="B2956" s="632" t="s">
        <v>3727</v>
      </c>
      <c r="C2956" s="632">
        <v>6</v>
      </c>
    </row>
    <row r="2957" spans="1:3" x14ac:dyDescent="0.25">
      <c r="A2957" s="631">
        <v>6002647</v>
      </c>
      <c r="B2957" s="632" t="s">
        <v>3728</v>
      </c>
      <c r="C2957" s="632">
        <v>30</v>
      </c>
    </row>
    <row r="2958" spans="1:3" x14ac:dyDescent="0.25">
      <c r="A2958" s="631">
        <v>6002648</v>
      </c>
      <c r="B2958" s="632" t="s">
        <v>3729</v>
      </c>
      <c r="C2958" s="632">
        <v>17</v>
      </c>
    </row>
    <row r="2959" spans="1:3" x14ac:dyDescent="0.25">
      <c r="A2959" s="631">
        <v>6002656</v>
      </c>
      <c r="B2959" s="632" t="s">
        <v>3730</v>
      </c>
      <c r="C2959" s="632">
        <v>26</v>
      </c>
    </row>
    <row r="2960" spans="1:3" x14ac:dyDescent="0.25">
      <c r="A2960" s="631">
        <v>6002812</v>
      </c>
      <c r="B2960" s="632" t="s">
        <v>3731</v>
      </c>
      <c r="C2960" s="632">
        <v>8</v>
      </c>
    </row>
    <row r="2961" spans="1:3" x14ac:dyDescent="0.25">
      <c r="A2961" s="631">
        <v>6002832</v>
      </c>
      <c r="B2961" s="632" t="s">
        <v>3732</v>
      </c>
      <c r="C2961" s="632">
        <v>30</v>
      </c>
    </row>
    <row r="2962" spans="1:3" x14ac:dyDescent="0.25">
      <c r="A2962" s="631">
        <v>6002837</v>
      </c>
      <c r="B2962" s="632" t="s">
        <v>3733</v>
      </c>
      <c r="C2962" s="632">
        <v>30</v>
      </c>
    </row>
    <row r="2963" spans="1:3" x14ac:dyDescent="0.25">
      <c r="A2963" s="631">
        <v>6003032</v>
      </c>
      <c r="B2963" s="632" t="s">
        <v>3734</v>
      </c>
      <c r="C2963" s="632">
        <v>30</v>
      </c>
    </row>
    <row r="2964" spans="1:3" x14ac:dyDescent="0.25">
      <c r="A2964" s="631">
        <v>6003409</v>
      </c>
      <c r="B2964" s="632" t="s">
        <v>4406</v>
      </c>
      <c r="C2964" s="632">
        <v>8</v>
      </c>
    </row>
    <row r="2965" spans="1:3" x14ac:dyDescent="0.25">
      <c r="A2965" s="631" t="s">
        <v>3735</v>
      </c>
      <c r="B2965" s="632" t="s">
        <v>3736</v>
      </c>
      <c r="C2965" s="632">
        <v>26</v>
      </c>
    </row>
    <row r="2966" spans="1:3" x14ac:dyDescent="0.25">
      <c r="A2966" s="631">
        <v>6003508</v>
      </c>
      <c r="B2966" s="632" t="s">
        <v>3737</v>
      </c>
      <c r="C2966" s="632">
        <v>6</v>
      </c>
    </row>
    <row r="2967" spans="1:3" x14ac:dyDescent="0.25">
      <c r="A2967" s="631">
        <v>6003509</v>
      </c>
      <c r="B2967" s="632" t="s">
        <v>3738</v>
      </c>
      <c r="C2967" s="632">
        <v>28</v>
      </c>
    </row>
    <row r="2968" spans="1:3" x14ac:dyDescent="0.25">
      <c r="A2968" s="631">
        <v>6003523</v>
      </c>
      <c r="B2968" s="632" t="s">
        <v>3739</v>
      </c>
      <c r="C2968" s="632">
        <v>30</v>
      </c>
    </row>
    <row r="2969" spans="1:3" x14ac:dyDescent="0.25">
      <c r="A2969" s="631">
        <v>6003526</v>
      </c>
      <c r="B2969" s="632" t="s">
        <v>3740</v>
      </c>
      <c r="C2969" s="632">
        <v>7</v>
      </c>
    </row>
    <row r="2970" spans="1:3" x14ac:dyDescent="0.25">
      <c r="A2970" s="631">
        <v>6003528</v>
      </c>
      <c r="B2970" s="632" t="s">
        <v>3741</v>
      </c>
      <c r="C2970" s="632">
        <v>36</v>
      </c>
    </row>
    <row r="2971" spans="1:3" x14ac:dyDescent="0.25">
      <c r="A2971" s="631">
        <v>6003530</v>
      </c>
      <c r="B2971" s="632" t="s">
        <v>3742</v>
      </c>
      <c r="C2971" s="632">
        <v>0</v>
      </c>
    </row>
    <row r="2972" spans="1:3" x14ac:dyDescent="0.25">
      <c r="A2972" s="631">
        <v>6003622</v>
      </c>
      <c r="B2972" s="632" t="s">
        <v>3743</v>
      </c>
      <c r="C2972" s="632">
        <v>7</v>
      </c>
    </row>
    <row r="2973" spans="1:3" x14ac:dyDescent="0.25">
      <c r="A2973" s="631">
        <v>6004520</v>
      </c>
      <c r="B2973" s="632" t="s">
        <v>3744</v>
      </c>
      <c r="C2973" s="632">
        <v>15</v>
      </c>
    </row>
    <row r="2974" spans="1:3" x14ac:dyDescent="0.25">
      <c r="A2974" s="631">
        <v>6004525</v>
      </c>
      <c r="B2974" s="632" t="s">
        <v>3745</v>
      </c>
      <c r="C2974" s="632">
        <v>12</v>
      </c>
    </row>
    <row r="2975" spans="1:3" x14ac:dyDescent="0.25">
      <c r="A2975" s="631">
        <v>6004610</v>
      </c>
      <c r="B2975" s="632" t="s">
        <v>3746</v>
      </c>
      <c r="C2975" s="632">
        <v>13</v>
      </c>
    </row>
    <row r="2976" spans="1:3" x14ac:dyDescent="0.25">
      <c r="A2976" s="631">
        <v>6004612</v>
      </c>
      <c r="B2976" s="632" t="s">
        <v>3747</v>
      </c>
      <c r="C2976" s="632">
        <v>15</v>
      </c>
    </row>
    <row r="2977" spans="1:3" x14ac:dyDescent="0.25">
      <c r="A2977" s="631">
        <v>6004620</v>
      </c>
      <c r="B2977" s="632" t="s">
        <v>3748</v>
      </c>
      <c r="C2977" s="632">
        <v>15</v>
      </c>
    </row>
    <row r="2978" spans="1:3" x14ac:dyDescent="0.25">
      <c r="A2978" s="631">
        <v>6004635</v>
      </c>
      <c r="B2978" s="632" t="s">
        <v>3749</v>
      </c>
      <c r="C2978" s="632">
        <v>28</v>
      </c>
    </row>
    <row r="2979" spans="1:3" x14ac:dyDescent="0.25">
      <c r="A2979" s="631">
        <v>6004640</v>
      </c>
      <c r="B2979" s="632" t="s">
        <v>3750</v>
      </c>
      <c r="C2979" s="632">
        <v>30</v>
      </c>
    </row>
    <row r="2980" spans="1:3" x14ac:dyDescent="0.25">
      <c r="A2980" s="631" t="s">
        <v>3751</v>
      </c>
      <c r="B2980" s="632" t="s">
        <v>3752</v>
      </c>
      <c r="C2980" s="632">
        <v>6</v>
      </c>
    </row>
    <row r="2981" spans="1:3" x14ac:dyDescent="0.25">
      <c r="A2981" s="631" t="s">
        <v>3753</v>
      </c>
      <c r="B2981" s="632" t="s">
        <v>3754</v>
      </c>
      <c r="C2981" s="632">
        <v>6</v>
      </c>
    </row>
    <row r="2982" spans="1:3" x14ac:dyDescent="0.25">
      <c r="A2982" s="631">
        <v>6005309</v>
      </c>
      <c r="B2982" s="632" t="s">
        <v>3755</v>
      </c>
      <c r="C2982" s="632">
        <v>7</v>
      </c>
    </row>
    <row r="2983" spans="1:3" x14ac:dyDescent="0.25">
      <c r="A2983" s="631">
        <v>6005540</v>
      </c>
      <c r="B2983" s="632" t="s">
        <v>3756</v>
      </c>
      <c r="C2983" s="632">
        <v>7</v>
      </c>
    </row>
    <row r="2984" spans="1:3" x14ac:dyDescent="0.25">
      <c r="A2984" s="631">
        <v>6005609</v>
      </c>
      <c r="B2984" s="632" t="s">
        <v>3757</v>
      </c>
      <c r="C2984" s="632">
        <v>12</v>
      </c>
    </row>
    <row r="2985" spans="1:3" x14ac:dyDescent="0.25">
      <c r="A2985" s="631">
        <v>6006505</v>
      </c>
      <c r="B2985" s="632" t="s">
        <v>3758</v>
      </c>
      <c r="C2985" s="632">
        <v>7</v>
      </c>
    </row>
    <row r="2986" spans="1:3" x14ac:dyDescent="0.25">
      <c r="A2986" s="631">
        <v>6007416</v>
      </c>
      <c r="B2986" s="632" t="s">
        <v>3759</v>
      </c>
      <c r="C2986" s="632">
        <v>7</v>
      </c>
    </row>
    <row r="2987" spans="1:3" x14ac:dyDescent="0.25">
      <c r="A2987" s="631">
        <v>6007513</v>
      </c>
      <c r="B2987" s="632" t="s">
        <v>3760</v>
      </c>
      <c r="C2987" s="632">
        <v>7</v>
      </c>
    </row>
    <row r="2988" spans="1:3" x14ac:dyDescent="0.25">
      <c r="A2988" s="631">
        <v>6007520</v>
      </c>
      <c r="B2988" s="632" t="s">
        <v>3761</v>
      </c>
      <c r="C2988" s="632">
        <v>7</v>
      </c>
    </row>
    <row r="2989" spans="1:3" x14ac:dyDescent="0.25">
      <c r="A2989" s="631">
        <v>6007526</v>
      </c>
      <c r="B2989" s="632" t="s">
        <v>3762</v>
      </c>
      <c r="C2989" s="632">
        <v>7</v>
      </c>
    </row>
    <row r="2990" spans="1:3" x14ac:dyDescent="0.25">
      <c r="A2990" s="631">
        <v>6007532</v>
      </c>
      <c r="B2990" s="632" t="s">
        <v>3763</v>
      </c>
      <c r="C2990" s="632">
        <v>7</v>
      </c>
    </row>
    <row r="2991" spans="1:3" x14ac:dyDescent="0.25">
      <c r="A2991" s="631">
        <v>6007535</v>
      </c>
      <c r="B2991" s="632" t="s">
        <v>3764</v>
      </c>
      <c r="C2991" s="632">
        <v>7</v>
      </c>
    </row>
    <row r="2992" spans="1:3" x14ac:dyDescent="0.25">
      <c r="A2992" s="631">
        <v>6007618</v>
      </c>
      <c r="B2992" s="632" t="s">
        <v>3765</v>
      </c>
      <c r="C2992" s="632">
        <v>7</v>
      </c>
    </row>
    <row r="2993" spans="1:3" x14ac:dyDescent="0.25">
      <c r="A2993" s="631" t="s">
        <v>3766</v>
      </c>
      <c r="B2993" s="632" t="s">
        <v>3767</v>
      </c>
      <c r="C2993" s="632">
        <v>6</v>
      </c>
    </row>
    <row r="2994" spans="1:3" x14ac:dyDescent="0.25">
      <c r="A2994" s="631">
        <v>6007626</v>
      </c>
      <c r="B2994" s="632" t="s">
        <v>3768</v>
      </c>
      <c r="C2994" s="632">
        <v>7</v>
      </c>
    </row>
    <row r="2995" spans="1:3" x14ac:dyDescent="0.25">
      <c r="A2995" s="631">
        <v>6018001</v>
      </c>
      <c r="B2995" s="632" t="s">
        <v>3769</v>
      </c>
      <c r="C2995" s="632">
        <v>88</v>
      </c>
    </row>
    <row r="2996" spans="1:3" x14ac:dyDescent="0.25">
      <c r="A2996" s="631">
        <v>6018002</v>
      </c>
      <c r="B2996" s="632" t="s">
        <v>3770</v>
      </c>
      <c r="C2996" s="632">
        <v>177</v>
      </c>
    </row>
    <row r="2997" spans="1:3" x14ac:dyDescent="0.25">
      <c r="A2997" s="631">
        <v>6504027</v>
      </c>
      <c r="B2997" s="632" t="s">
        <v>3771</v>
      </c>
      <c r="C2997" s="632">
        <v>3456</v>
      </c>
    </row>
    <row r="2998" spans="1:3" x14ac:dyDescent="0.25">
      <c r="A2998" s="631">
        <v>6504030</v>
      </c>
      <c r="B2998" s="632" t="s">
        <v>3772</v>
      </c>
      <c r="C2998" s="632">
        <v>3456</v>
      </c>
    </row>
    <row r="2999" spans="1:3" x14ac:dyDescent="0.25">
      <c r="A2999" s="631">
        <v>6504033</v>
      </c>
      <c r="B2999" s="632" t="s">
        <v>3773</v>
      </c>
      <c r="C2999" s="632">
        <v>3456</v>
      </c>
    </row>
    <row r="3000" spans="1:3" x14ac:dyDescent="0.25">
      <c r="A3000" s="631">
        <v>6504036</v>
      </c>
      <c r="B3000" s="632" t="s">
        <v>3774</v>
      </c>
      <c r="C3000" s="632">
        <v>3456</v>
      </c>
    </row>
    <row r="3001" spans="1:3" x14ac:dyDescent="0.25">
      <c r="A3001" s="631">
        <v>6504039</v>
      </c>
      <c r="B3001" s="632" t="s">
        <v>3775</v>
      </c>
      <c r="C3001" s="632">
        <v>3456</v>
      </c>
    </row>
    <row r="3002" spans="1:3" x14ac:dyDescent="0.25">
      <c r="A3002" s="631">
        <v>6504042</v>
      </c>
      <c r="B3002" s="632" t="s">
        <v>3776</v>
      </c>
      <c r="C3002" s="632">
        <v>3456</v>
      </c>
    </row>
    <row r="3003" spans="1:3" x14ac:dyDescent="0.25">
      <c r="A3003" s="631">
        <v>6505033</v>
      </c>
      <c r="B3003" s="632" t="s">
        <v>3777</v>
      </c>
      <c r="C3003" s="632">
        <v>3456</v>
      </c>
    </row>
    <row r="3004" spans="1:3" x14ac:dyDescent="0.25">
      <c r="A3004" s="631">
        <v>6505036</v>
      </c>
      <c r="B3004" s="632" t="s">
        <v>3778</v>
      </c>
      <c r="C3004" s="632">
        <v>3456</v>
      </c>
    </row>
    <row r="3005" spans="1:3" x14ac:dyDescent="0.25">
      <c r="A3005" s="631">
        <v>6505039</v>
      </c>
      <c r="B3005" s="632" t="s">
        <v>3779</v>
      </c>
      <c r="C3005" s="632">
        <v>3456</v>
      </c>
    </row>
    <row r="3006" spans="1:3" x14ac:dyDescent="0.25">
      <c r="A3006" s="631">
        <v>6505042</v>
      </c>
      <c r="B3006" s="632" t="s">
        <v>3780</v>
      </c>
      <c r="C3006" s="632">
        <v>3456</v>
      </c>
    </row>
    <row r="3007" spans="1:3" x14ac:dyDescent="0.25">
      <c r="A3007" s="631">
        <v>6505045</v>
      </c>
      <c r="B3007" s="632" t="s">
        <v>3781</v>
      </c>
      <c r="C3007" s="632">
        <v>3456</v>
      </c>
    </row>
    <row r="3008" spans="1:3" x14ac:dyDescent="0.25">
      <c r="A3008" s="631">
        <v>6506033</v>
      </c>
      <c r="B3008" s="632" t="s">
        <v>3782</v>
      </c>
      <c r="C3008" s="632">
        <v>2808</v>
      </c>
    </row>
    <row r="3009" spans="1:3" x14ac:dyDescent="0.25">
      <c r="A3009" s="631">
        <v>6506036</v>
      </c>
      <c r="B3009" s="632" t="s">
        <v>3783</v>
      </c>
      <c r="C3009" s="632">
        <v>2808</v>
      </c>
    </row>
    <row r="3010" spans="1:3" x14ac:dyDescent="0.25">
      <c r="A3010" s="631">
        <v>6506039</v>
      </c>
      <c r="B3010" s="632" t="s">
        <v>3784</v>
      </c>
      <c r="C3010" s="632">
        <v>2808</v>
      </c>
    </row>
    <row r="3011" spans="1:3" x14ac:dyDescent="0.25">
      <c r="A3011" s="631">
        <v>6506042</v>
      </c>
      <c r="B3011" s="632" t="s">
        <v>3785</v>
      </c>
      <c r="C3011" s="632">
        <v>2808</v>
      </c>
    </row>
    <row r="3012" spans="1:3" x14ac:dyDescent="0.25">
      <c r="A3012" s="631">
        <v>6506045</v>
      </c>
      <c r="B3012" s="632" t="s">
        <v>3786</v>
      </c>
      <c r="C3012" s="632">
        <v>2808</v>
      </c>
    </row>
    <row r="3013" spans="1:3" x14ac:dyDescent="0.25">
      <c r="A3013" s="631">
        <v>6701001</v>
      </c>
      <c r="B3013" s="632" t="s">
        <v>3787</v>
      </c>
      <c r="C3013" s="632">
        <v>40</v>
      </c>
    </row>
    <row r="3014" spans="1:3" x14ac:dyDescent="0.25">
      <c r="A3014" s="631">
        <v>6701004</v>
      </c>
      <c r="B3014" s="632" t="s">
        <v>3788</v>
      </c>
      <c r="C3014" s="632">
        <v>45</v>
      </c>
    </row>
    <row r="3015" spans="1:3" x14ac:dyDescent="0.25">
      <c r="A3015" s="631">
        <v>6701018</v>
      </c>
      <c r="B3015" s="632" t="s">
        <v>3789</v>
      </c>
      <c r="C3015" s="632">
        <v>13</v>
      </c>
    </row>
    <row r="3016" spans="1:3" x14ac:dyDescent="0.25">
      <c r="A3016" s="631">
        <v>6701019</v>
      </c>
      <c r="B3016" s="632" t="s">
        <v>3790</v>
      </c>
      <c r="C3016" s="632">
        <v>69</v>
      </c>
    </row>
    <row r="3017" spans="1:3" x14ac:dyDescent="0.25">
      <c r="A3017" s="631">
        <v>6703300</v>
      </c>
      <c r="B3017" s="632" t="s">
        <v>3791</v>
      </c>
      <c r="C3017" s="632">
        <v>1580</v>
      </c>
    </row>
    <row r="3018" spans="1:3" x14ac:dyDescent="0.25">
      <c r="A3018" s="631">
        <v>6703301</v>
      </c>
      <c r="B3018" s="632" t="s">
        <v>3792</v>
      </c>
      <c r="C3018" s="632">
        <v>783</v>
      </c>
    </row>
    <row r="3019" spans="1:3" x14ac:dyDescent="0.25">
      <c r="A3019" s="631">
        <v>6703302</v>
      </c>
      <c r="B3019" s="632" t="s">
        <v>3793</v>
      </c>
      <c r="C3019" s="632">
        <v>783</v>
      </c>
    </row>
    <row r="3020" spans="1:3" x14ac:dyDescent="0.25">
      <c r="A3020" s="631">
        <v>6703900</v>
      </c>
      <c r="B3020" s="632" t="s">
        <v>3794</v>
      </c>
      <c r="C3020" s="632">
        <v>1580</v>
      </c>
    </row>
    <row r="3021" spans="1:3" x14ac:dyDescent="0.25">
      <c r="A3021" s="631">
        <v>6703901</v>
      </c>
      <c r="B3021" s="632" t="s">
        <v>3795</v>
      </c>
      <c r="C3021" s="632">
        <v>783</v>
      </c>
    </row>
    <row r="3022" spans="1:3" x14ac:dyDescent="0.25">
      <c r="A3022" s="631">
        <v>6703902</v>
      </c>
      <c r="B3022" s="632" t="s">
        <v>3796</v>
      </c>
      <c r="C3022" s="632">
        <v>783</v>
      </c>
    </row>
    <row r="3023" spans="1:3" x14ac:dyDescent="0.25">
      <c r="A3023" s="631">
        <v>6704500</v>
      </c>
      <c r="B3023" s="632" t="s">
        <v>3797</v>
      </c>
      <c r="C3023" s="632">
        <v>1580</v>
      </c>
    </row>
    <row r="3024" spans="1:3" x14ac:dyDescent="0.25">
      <c r="A3024" s="631">
        <v>6704501</v>
      </c>
      <c r="B3024" s="632" t="s">
        <v>3798</v>
      </c>
      <c r="C3024" s="632">
        <v>783</v>
      </c>
    </row>
    <row r="3025" spans="1:3" x14ac:dyDescent="0.25">
      <c r="A3025" s="631">
        <v>6704502</v>
      </c>
      <c r="B3025" s="632" t="s">
        <v>3799</v>
      </c>
      <c r="C3025" s="632">
        <v>783</v>
      </c>
    </row>
    <row r="3026" spans="1:3" x14ac:dyDescent="0.25">
      <c r="A3026" s="631">
        <v>6705000</v>
      </c>
      <c r="B3026" s="632" t="s">
        <v>3800</v>
      </c>
      <c r="C3026" s="632">
        <v>1580</v>
      </c>
    </row>
    <row r="3027" spans="1:3" x14ac:dyDescent="0.25">
      <c r="A3027" s="631">
        <v>6713301</v>
      </c>
      <c r="B3027" s="632" t="s">
        <v>3801</v>
      </c>
      <c r="C3027" s="632">
        <v>303</v>
      </c>
    </row>
    <row r="3028" spans="1:3" x14ac:dyDescent="0.25">
      <c r="A3028" s="631">
        <v>6713302</v>
      </c>
      <c r="B3028" s="632" t="s">
        <v>3802</v>
      </c>
      <c r="C3028" s="632">
        <v>303</v>
      </c>
    </row>
    <row r="3029" spans="1:3" x14ac:dyDescent="0.25">
      <c r="A3029" s="631">
        <v>6713311</v>
      </c>
      <c r="B3029" s="632" t="s">
        <v>3803</v>
      </c>
      <c r="C3029" s="632">
        <v>303</v>
      </c>
    </row>
    <row r="3030" spans="1:3" x14ac:dyDescent="0.25">
      <c r="A3030" s="631">
        <v>6713312</v>
      </c>
      <c r="B3030" s="632" t="s">
        <v>3804</v>
      </c>
      <c r="C3030" s="632">
        <v>303</v>
      </c>
    </row>
    <row r="3031" spans="1:3" x14ac:dyDescent="0.25">
      <c r="A3031" s="631">
        <v>6713901</v>
      </c>
      <c r="B3031" s="632" t="s">
        <v>3805</v>
      </c>
      <c r="C3031" s="632">
        <v>303</v>
      </c>
    </row>
    <row r="3032" spans="1:3" x14ac:dyDescent="0.25">
      <c r="A3032" s="631">
        <v>6713902</v>
      </c>
      <c r="B3032" s="632" t="s">
        <v>3806</v>
      </c>
      <c r="C3032" s="632">
        <v>303</v>
      </c>
    </row>
    <row r="3033" spans="1:3" x14ac:dyDescent="0.25">
      <c r="A3033" s="631">
        <v>6713911</v>
      </c>
      <c r="B3033" s="632" t="s">
        <v>3807</v>
      </c>
      <c r="C3033" s="632">
        <v>303</v>
      </c>
    </row>
    <row r="3034" spans="1:3" x14ac:dyDescent="0.25">
      <c r="A3034" s="631">
        <v>6713912</v>
      </c>
      <c r="B3034" s="632" t="s">
        <v>3808</v>
      </c>
      <c r="C3034" s="632">
        <v>303</v>
      </c>
    </row>
    <row r="3035" spans="1:3" x14ac:dyDescent="0.25">
      <c r="A3035" s="631">
        <v>6714501</v>
      </c>
      <c r="B3035" s="632" t="s">
        <v>3809</v>
      </c>
      <c r="C3035" s="632">
        <v>303</v>
      </c>
    </row>
    <row r="3036" spans="1:3" x14ac:dyDescent="0.25">
      <c r="A3036" s="631">
        <v>6714502</v>
      </c>
      <c r="B3036" s="632" t="s">
        <v>3810</v>
      </c>
      <c r="C3036" s="632">
        <v>303</v>
      </c>
    </row>
    <row r="3037" spans="1:3" x14ac:dyDescent="0.25">
      <c r="A3037" s="631">
        <v>6714511</v>
      </c>
      <c r="B3037" s="632" t="s">
        <v>3811</v>
      </c>
      <c r="C3037" s="632">
        <v>303</v>
      </c>
    </row>
    <row r="3038" spans="1:3" x14ac:dyDescent="0.25">
      <c r="A3038" s="631">
        <v>6714512</v>
      </c>
      <c r="B3038" s="632" t="s">
        <v>3812</v>
      </c>
      <c r="C3038" s="632">
        <v>303</v>
      </c>
    </row>
    <row r="3039" spans="1:3" x14ac:dyDescent="0.25">
      <c r="A3039" s="631">
        <v>6715001</v>
      </c>
      <c r="B3039" s="632" t="s">
        <v>3813</v>
      </c>
      <c r="C3039" s="632">
        <v>303</v>
      </c>
    </row>
    <row r="3040" spans="1:3" x14ac:dyDescent="0.25">
      <c r="A3040" s="631">
        <v>6715002</v>
      </c>
      <c r="B3040" s="632" t="s">
        <v>3814</v>
      </c>
      <c r="C3040" s="632">
        <v>303</v>
      </c>
    </row>
    <row r="3041" spans="1:3" x14ac:dyDescent="0.25">
      <c r="A3041" s="631">
        <v>6723300</v>
      </c>
      <c r="B3041" s="632" t="s">
        <v>3815</v>
      </c>
      <c r="C3041" s="632">
        <v>1727</v>
      </c>
    </row>
    <row r="3042" spans="1:3" x14ac:dyDescent="0.25">
      <c r="A3042" s="631">
        <v>6723301</v>
      </c>
      <c r="B3042" s="632" t="s">
        <v>3816</v>
      </c>
      <c r="C3042" s="632">
        <v>783</v>
      </c>
    </row>
    <row r="3043" spans="1:3" x14ac:dyDescent="0.25">
      <c r="A3043" s="631">
        <v>6723302</v>
      </c>
      <c r="B3043" s="632" t="s">
        <v>3816</v>
      </c>
      <c r="C3043" s="632">
        <v>783</v>
      </c>
    </row>
    <row r="3044" spans="1:3" x14ac:dyDescent="0.25">
      <c r="A3044" s="631">
        <v>6723900</v>
      </c>
      <c r="B3044" s="632" t="s">
        <v>3817</v>
      </c>
      <c r="C3044" s="632">
        <v>1580</v>
      </c>
    </row>
    <row r="3045" spans="1:3" x14ac:dyDescent="0.25">
      <c r="A3045" s="631">
        <v>6723901</v>
      </c>
      <c r="B3045" s="632" t="s">
        <v>3818</v>
      </c>
      <c r="C3045" s="632">
        <v>783</v>
      </c>
    </row>
    <row r="3046" spans="1:3" x14ac:dyDescent="0.25">
      <c r="A3046" s="631">
        <v>6723902</v>
      </c>
      <c r="B3046" s="632" t="s">
        <v>3818</v>
      </c>
      <c r="C3046" s="632">
        <v>783</v>
      </c>
    </row>
    <row r="3047" spans="1:3" x14ac:dyDescent="0.25">
      <c r="A3047" s="631">
        <v>6724500</v>
      </c>
      <c r="B3047" s="632" t="s">
        <v>3819</v>
      </c>
      <c r="C3047" s="632">
        <v>1580</v>
      </c>
    </row>
    <row r="3048" spans="1:3" x14ac:dyDescent="0.25">
      <c r="A3048" s="631">
        <v>6724501</v>
      </c>
      <c r="B3048" s="632" t="s">
        <v>3820</v>
      </c>
      <c r="C3048" s="632">
        <v>783</v>
      </c>
    </row>
    <row r="3049" spans="1:3" x14ac:dyDescent="0.25">
      <c r="A3049" s="631">
        <v>6724502</v>
      </c>
      <c r="B3049" s="632" t="s">
        <v>3820</v>
      </c>
      <c r="C3049" s="632">
        <v>783</v>
      </c>
    </row>
    <row r="3050" spans="1:3" x14ac:dyDescent="0.25">
      <c r="A3050" s="631">
        <v>6725000</v>
      </c>
      <c r="B3050" s="632" t="s">
        <v>3821</v>
      </c>
      <c r="C3050" s="632">
        <v>1727</v>
      </c>
    </row>
    <row r="3051" spans="1:3" x14ac:dyDescent="0.25">
      <c r="A3051" s="631">
        <v>6725001</v>
      </c>
      <c r="B3051" s="632" t="s">
        <v>3822</v>
      </c>
      <c r="C3051" s="632">
        <v>783</v>
      </c>
    </row>
    <row r="3052" spans="1:3" x14ac:dyDescent="0.25">
      <c r="A3052" s="631">
        <v>6725002</v>
      </c>
      <c r="B3052" s="632" t="s">
        <v>3822</v>
      </c>
      <c r="C3052" s="632">
        <v>783</v>
      </c>
    </row>
    <row r="3053" spans="1:3" x14ac:dyDescent="0.25">
      <c r="A3053" s="631">
        <v>6733300</v>
      </c>
      <c r="B3053" s="632" t="s">
        <v>3823</v>
      </c>
      <c r="C3053" s="632">
        <v>1885</v>
      </c>
    </row>
    <row r="3054" spans="1:3" x14ac:dyDescent="0.25">
      <c r="A3054" s="631">
        <v>6733301</v>
      </c>
      <c r="B3054" s="632" t="s">
        <v>3824</v>
      </c>
      <c r="C3054" s="632">
        <v>942</v>
      </c>
    </row>
    <row r="3055" spans="1:3" x14ac:dyDescent="0.25">
      <c r="A3055" s="631">
        <v>6733302</v>
      </c>
      <c r="B3055" s="632" t="s">
        <v>3825</v>
      </c>
      <c r="C3055" s="632">
        <v>942</v>
      </c>
    </row>
    <row r="3056" spans="1:3" x14ac:dyDescent="0.25">
      <c r="A3056" s="631">
        <v>6733900</v>
      </c>
      <c r="B3056" s="632" t="s">
        <v>3826</v>
      </c>
      <c r="C3056" s="632">
        <v>1885</v>
      </c>
    </row>
    <row r="3057" spans="1:3" x14ac:dyDescent="0.25">
      <c r="A3057" s="631">
        <v>6733901</v>
      </c>
      <c r="B3057" s="632" t="s">
        <v>3827</v>
      </c>
      <c r="C3057" s="632">
        <v>942</v>
      </c>
    </row>
    <row r="3058" spans="1:3" x14ac:dyDescent="0.25">
      <c r="A3058" s="631">
        <v>6733902</v>
      </c>
      <c r="B3058" s="632" t="s">
        <v>3828</v>
      </c>
      <c r="C3058" s="632">
        <v>942</v>
      </c>
    </row>
    <row r="3059" spans="1:3" x14ac:dyDescent="0.25">
      <c r="A3059" s="631">
        <v>6734500</v>
      </c>
      <c r="B3059" s="632" t="s">
        <v>3829</v>
      </c>
      <c r="C3059" s="632">
        <v>1885</v>
      </c>
    </row>
    <row r="3060" spans="1:3" x14ac:dyDescent="0.25">
      <c r="A3060" s="631">
        <v>6734501</v>
      </c>
      <c r="B3060" s="632" t="s">
        <v>3830</v>
      </c>
      <c r="C3060" s="632">
        <v>942</v>
      </c>
    </row>
    <row r="3061" spans="1:3" x14ac:dyDescent="0.25">
      <c r="A3061" s="631">
        <v>6734502</v>
      </c>
      <c r="B3061" s="632" t="s">
        <v>3831</v>
      </c>
      <c r="C3061" s="632">
        <v>942</v>
      </c>
    </row>
    <row r="3062" spans="1:3" x14ac:dyDescent="0.25">
      <c r="A3062" s="631">
        <v>6743300</v>
      </c>
      <c r="B3062" s="632" t="s">
        <v>3832</v>
      </c>
      <c r="C3062" s="632">
        <v>2061</v>
      </c>
    </row>
    <row r="3063" spans="1:3" x14ac:dyDescent="0.25">
      <c r="A3063" s="631">
        <v>6743301</v>
      </c>
      <c r="B3063" s="632" t="s">
        <v>3833</v>
      </c>
      <c r="C3063" s="632">
        <v>927</v>
      </c>
    </row>
    <row r="3064" spans="1:3" x14ac:dyDescent="0.25">
      <c r="A3064" s="631">
        <v>6743302</v>
      </c>
      <c r="B3064" s="632" t="s">
        <v>3834</v>
      </c>
      <c r="C3064" s="632">
        <v>927</v>
      </c>
    </row>
    <row r="3065" spans="1:3" x14ac:dyDescent="0.25">
      <c r="A3065" s="631">
        <v>6743900</v>
      </c>
      <c r="B3065" s="632" t="s">
        <v>3835</v>
      </c>
      <c r="C3065" s="632">
        <v>1885</v>
      </c>
    </row>
    <row r="3066" spans="1:3" x14ac:dyDescent="0.25">
      <c r="A3066" s="631">
        <v>6743901</v>
      </c>
      <c r="B3066" s="632" t="s">
        <v>3836</v>
      </c>
      <c r="C3066" s="632">
        <v>942</v>
      </c>
    </row>
    <row r="3067" spans="1:3" x14ac:dyDescent="0.25">
      <c r="A3067" s="631">
        <v>6743902</v>
      </c>
      <c r="B3067" s="632" t="s">
        <v>3837</v>
      </c>
      <c r="C3067" s="632">
        <v>942</v>
      </c>
    </row>
    <row r="3068" spans="1:3" x14ac:dyDescent="0.25">
      <c r="A3068" s="631">
        <v>6744500</v>
      </c>
      <c r="B3068" s="632" t="s">
        <v>3838</v>
      </c>
      <c r="C3068" s="632">
        <v>1885</v>
      </c>
    </row>
    <row r="3069" spans="1:3" x14ac:dyDescent="0.25">
      <c r="A3069" s="631">
        <v>6744501</v>
      </c>
      <c r="B3069" s="632" t="s">
        <v>3839</v>
      </c>
      <c r="C3069" s="632">
        <v>942</v>
      </c>
    </row>
    <row r="3070" spans="1:3" x14ac:dyDescent="0.25">
      <c r="A3070" s="631">
        <v>6744502</v>
      </c>
      <c r="B3070" s="632" t="s">
        <v>3840</v>
      </c>
      <c r="C3070" s="632">
        <v>942</v>
      </c>
    </row>
    <row r="3071" spans="1:3" x14ac:dyDescent="0.25">
      <c r="A3071" s="631">
        <v>6760500</v>
      </c>
      <c r="B3071" s="632" t="s">
        <v>3841</v>
      </c>
      <c r="C3071" s="632">
        <v>4147</v>
      </c>
    </row>
    <row r="3072" spans="1:3" x14ac:dyDescent="0.25">
      <c r="A3072" s="631">
        <v>6760501</v>
      </c>
      <c r="B3072" s="632" t="s">
        <v>3842</v>
      </c>
      <c r="C3072" s="632">
        <v>1898</v>
      </c>
    </row>
    <row r="3073" spans="1:3" x14ac:dyDescent="0.25">
      <c r="A3073" s="631">
        <v>6760502</v>
      </c>
      <c r="B3073" s="632" t="s">
        <v>3843</v>
      </c>
      <c r="C3073" s="632">
        <v>1898</v>
      </c>
    </row>
    <row r="3074" spans="1:3" x14ac:dyDescent="0.25">
      <c r="A3074" s="631">
        <v>6760510</v>
      </c>
      <c r="B3074" s="632" t="s">
        <v>3844</v>
      </c>
      <c r="C3074" s="632">
        <v>272</v>
      </c>
    </row>
    <row r="3075" spans="1:3" x14ac:dyDescent="0.25">
      <c r="A3075" s="631">
        <v>6760515</v>
      </c>
      <c r="B3075" s="632" t="s">
        <v>3845</v>
      </c>
      <c r="C3075" s="632">
        <v>672</v>
      </c>
    </row>
    <row r="3076" spans="1:3" x14ac:dyDescent="0.25">
      <c r="A3076" s="631">
        <v>6760516</v>
      </c>
      <c r="B3076" s="632" t="s">
        <v>3846</v>
      </c>
      <c r="C3076" s="632">
        <v>672</v>
      </c>
    </row>
    <row r="3077" spans="1:3" x14ac:dyDescent="0.25">
      <c r="A3077" s="631">
        <v>6760541</v>
      </c>
      <c r="B3077" s="632" t="s">
        <v>3847</v>
      </c>
      <c r="C3077" s="632">
        <v>550</v>
      </c>
    </row>
    <row r="3078" spans="1:3" x14ac:dyDescent="0.25">
      <c r="A3078" s="631">
        <v>6760542</v>
      </c>
      <c r="B3078" s="632" t="s">
        <v>3848</v>
      </c>
      <c r="C3078" s="632">
        <v>550</v>
      </c>
    </row>
    <row r="3079" spans="1:3" x14ac:dyDescent="0.25">
      <c r="A3079" s="631">
        <v>6770201</v>
      </c>
      <c r="B3079" s="632" t="s">
        <v>3849</v>
      </c>
      <c r="C3079" s="632">
        <v>820</v>
      </c>
    </row>
    <row r="3080" spans="1:3" x14ac:dyDescent="0.25">
      <c r="A3080" s="631">
        <v>6770202</v>
      </c>
      <c r="B3080" s="632" t="s">
        <v>3850</v>
      </c>
      <c r="C3080" s="632">
        <v>820</v>
      </c>
    </row>
    <row r="3081" spans="1:3" x14ac:dyDescent="0.25">
      <c r="A3081" s="631">
        <v>6770207</v>
      </c>
      <c r="B3081" s="632" t="s">
        <v>3851</v>
      </c>
      <c r="C3081" s="632">
        <v>304</v>
      </c>
    </row>
    <row r="3082" spans="1:3" x14ac:dyDescent="0.25">
      <c r="A3082" s="631">
        <v>6770208</v>
      </c>
      <c r="B3082" s="632" t="s">
        <v>3852</v>
      </c>
      <c r="C3082" s="632">
        <v>304</v>
      </c>
    </row>
    <row r="3083" spans="1:3" x14ac:dyDescent="0.25">
      <c r="A3083" s="631">
        <v>6770300</v>
      </c>
      <c r="B3083" s="632" t="s">
        <v>3853</v>
      </c>
      <c r="C3083" s="632">
        <v>2248</v>
      </c>
    </row>
    <row r="3084" spans="1:3" x14ac:dyDescent="0.25">
      <c r="A3084" s="631">
        <v>6770305</v>
      </c>
      <c r="B3084" s="632" t="s">
        <v>3854</v>
      </c>
      <c r="C3084" s="632">
        <v>1124</v>
      </c>
    </row>
    <row r="3085" spans="1:3" x14ac:dyDescent="0.25">
      <c r="A3085" s="631">
        <v>6770306</v>
      </c>
      <c r="B3085" s="632" t="s">
        <v>3855</v>
      </c>
      <c r="C3085" s="632">
        <v>1124</v>
      </c>
    </row>
    <row r="3086" spans="1:3" x14ac:dyDescent="0.25">
      <c r="A3086" s="631">
        <v>6770307</v>
      </c>
      <c r="B3086" s="632" t="s">
        <v>3856</v>
      </c>
      <c r="C3086" s="632">
        <v>304</v>
      </c>
    </row>
    <row r="3087" spans="1:3" x14ac:dyDescent="0.25">
      <c r="A3087" s="631">
        <v>6770308</v>
      </c>
      <c r="B3087" s="632" t="s">
        <v>3857</v>
      </c>
      <c r="C3087" s="632">
        <v>304</v>
      </c>
    </row>
    <row r="3088" spans="1:3" x14ac:dyDescent="0.25">
      <c r="A3088" s="631">
        <v>6810000</v>
      </c>
      <c r="B3088" s="632" t="s">
        <v>3858</v>
      </c>
      <c r="C3088" s="632">
        <v>1692</v>
      </c>
    </row>
    <row r="3089" spans="1:3" x14ac:dyDescent="0.25">
      <c r="A3089" s="631">
        <v>6810001</v>
      </c>
      <c r="B3089" s="632" t="s">
        <v>3859</v>
      </c>
      <c r="C3089" s="632">
        <v>816</v>
      </c>
    </row>
    <row r="3090" spans="1:3" x14ac:dyDescent="0.25">
      <c r="A3090" s="631">
        <v>6810010</v>
      </c>
      <c r="B3090" s="632" t="s">
        <v>3860</v>
      </c>
      <c r="C3090" s="632">
        <v>328</v>
      </c>
    </row>
    <row r="3091" spans="1:3" x14ac:dyDescent="0.25">
      <c r="A3091" s="631">
        <v>6810015</v>
      </c>
      <c r="B3091" s="632" t="s">
        <v>3861</v>
      </c>
      <c r="C3091" s="632">
        <v>1045</v>
      </c>
    </row>
    <row r="3092" spans="1:3" x14ac:dyDescent="0.25">
      <c r="A3092" s="631">
        <v>6810016</v>
      </c>
      <c r="B3092" s="632" t="s">
        <v>3862</v>
      </c>
      <c r="C3092" s="632">
        <v>574</v>
      </c>
    </row>
    <row r="3093" spans="1:3" x14ac:dyDescent="0.25">
      <c r="A3093" s="631">
        <v>6810020</v>
      </c>
      <c r="B3093" s="632" t="s">
        <v>3863</v>
      </c>
      <c r="C3093" s="632">
        <v>2077</v>
      </c>
    </row>
    <row r="3094" spans="1:3" x14ac:dyDescent="0.25">
      <c r="A3094" s="631">
        <v>6810021</v>
      </c>
      <c r="B3094" s="632" t="s">
        <v>3864</v>
      </c>
      <c r="C3094" s="632">
        <v>780</v>
      </c>
    </row>
    <row r="3095" spans="1:3" x14ac:dyDescent="0.25">
      <c r="A3095" s="631">
        <v>6810023</v>
      </c>
      <c r="B3095" s="632" t="s">
        <v>3865</v>
      </c>
      <c r="C3095" s="632">
        <v>192</v>
      </c>
    </row>
    <row r="3096" spans="1:3" x14ac:dyDescent="0.25">
      <c r="A3096" s="631">
        <v>6810024</v>
      </c>
      <c r="B3096" s="632" t="s">
        <v>3866</v>
      </c>
      <c r="C3096" s="632">
        <v>192</v>
      </c>
    </row>
    <row r="3097" spans="1:3" x14ac:dyDescent="0.25">
      <c r="A3097" s="631">
        <v>6810025</v>
      </c>
      <c r="B3097" s="632" t="s">
        <v>3867</v>
      </c>
      <c r="C3097" s="632">
        <v>26</v>
      </c>
    </row>
    <row r="3098" spans="1:3" x14ac:dyDescent="0.25">
      <c r="A3098" s="631">
        <v>6810026</v>
      </c>
      <c r="B3098" s="632" t="s">
        <v>3868</v>
      </c>
      <c r="C3098" s="632">
        <v>512</v>
      </c>
    </row>
    <row r="3099" spans="1:3" x14ac:dyDescent="0.25">
      <c r="A3099" s="631">
        <v>6810027</v>
      </c>
      <c r="B3099" s="632" t="s">
        <v>3869</v>
      </c>
      <c r="C3099" s="632">
        <v>50</v>
      </c>
    </row>
    <row r="3100" spans="1:3" x14ac:dyDescent="0.25">
      <c r="A3100" s="631">
        <v>6810028</v>
      </c>
      <c r="B3100" s="632" t="s">
        <v>3870</v>
      </c>
      <c r="C3100" s="632">
        <v>0</v>
      </c>
    </row>
    <row r="3101" spans="1:3" x14ac:dyDescent="0.25">
      <c r="A3101" s="631">
        <v>6810029</v>
      </c>
      <c r="B3101" s="632" t="s">
        <v>3871</v>
      </c>
      <c r="C3101" s="632">
        <v>50</v>
      </c>
    </row>
    <row r="3102" spans="1:3" x14ac:dyDescent="0.25">
      <c r="A3102" s="631">
        <v>6810030</v>
      </c>
      <c r="B3102" s="632" t="s">
        <v>3872</v>
      </c>
      <c r="C3102" s="632">
        <v>50</v>
      </c>
    </row>
    <row r="3103" spans="1:3" x14ac:dyDescent="0.25">
      <c r="A3103" s="631">
        <v>6810031</v>
      </c>
      <c r="B3103" s="632" t="s">
        <v>3873</v>
      </c>
      <c r="C3103" s="632">
        <v>0</v>
      </c>
    </row>
    <row r="3104" spans="1:3" x14ac:dyDescent="0.25">
      <c r="A3104" s="631">
        <v>6810032</v>
      </c>
      <c r="B3104" s="632" t="s">
        <v>3874</v>
      </c>
      <c r="C3104" s="632">
        <v>0</v>
      </c>
    </row>
    <row r="3105" spans="1:3" x14ac:dyDescent="0.25">
      <c r="A3105" s="631">
        <v>7000050</v>
      </c>
      <c r="B3105" s="632" t="s">
        <v>3875</v>
      </c>
      <c r="C3105" s="632">
        <v>7</v>
      </c>
    </row>
    <row r="3106" spans="1:3" x14ac:dyDescent="0.25">
      <c r="A3106" s="631">
        <v>7000052</v>
      </c>
      <c r="B3106" s="632" t="s">
        <v>3876</v>
      </c>
      <c r="C3106" s="632">
        <v>7</v>
      </c>
    </row>
    <row r="3107" spans="1:3" x14ac:dyDescent="0.25">
      <c r="A3107" s="631">
        <v>7000053</v>
      </c>
      <c r="B3107" s="632" t="s">
        <v>3877</v>
      </c>
      <c r="C3107" s="632">
        <v>6</v>
      </c>
    </row>
    <row r="3108" spans="1:3" x14ac:dyDescent="0.25">
      <c r="A3108" s="631">
        <v>7000060</v>
      </c>
      <c r="B3108" s="632" t="s">
        <v>3878</v>
      </c>
      <c r="C3108" s="632">
        <v>8</v>
      </c>
    </row>
    <row r="3109" spans="1:3" x14ac:dyDescent="0.25">
      <c r="A3109" s="631">
        <v>7000086</v>
      </c>
      <c r="B3109" s="632" t="s">
        <v>3879</v>
      </c>
      <c r="C3109" s="632">
        <v>60</v>
      </c>
    </row>
    <row r="3110" spans="1:3" x14ac:dyDescent="0.25">
      <c r="A3110" s="631">
        <v>7000120</v>
      </c>
      <c r="B3110" s="632" t="s">
        <v>3880</v>
      </c>
      <c r="C3110" s="632">
        <v>22</v>
      </c>
    </row>
    <row r="3111" spans="1:3" x14ac:dyDescent="0.25">
      <c r="A3111" s="631">
        <v>7000128</v>
      </c>
      <c r="B3111" s="632" t="s">
        <v>3881</v>
      </c>
      <c r="C3111" s="632">
        <v>22</v>
      </c>
    </row>
    <row r="3112" spans="1:3" x14ac:dyDescent="0.25">
      <c r="A3112" s="631">
        <v>7001010</v>
      </c>
      <c r="B3112" s="632" t="s">
        <v>3882</v>
      </c>
      <c r="C3112" s="632">
        <v>22</v>
      </c>
    </row>
    <row r="3113" spans="1:3" x14ac:dyDescent="0.25">
      <c r="A3113" s="631">
        <v>7001011</v>
      </c>
      <c r="B3113" s="632" t="s">
        <v>3883</v>
      </c>
      <c r="C3113" s="632">
        <v>22</v>
      </c>
    </row>
    <row r="3114" spans="1:3" x14ac:dyDescent="0.25">
      <c r="A3114" s="631">
        <v>7001012</v>
      </c>
      <c r="B3114" s="632" t="s">
        <v>3884</v>
      </c>
      <c r="C3114" s="632">
        <v>58</v>
      </c>
    </row>
    <row r="3115" spans="1:3" x14ac:dyDescent="0.25">
      <c r="A3115" s="631">
        <v>7001020</v>
      </c>
      <c r="B3115" s="632" t="s">
        <v>3885</v>
      </c>
      <c r="C3115" s="632">
        <v>74</v>
      </c>
    </row>
    <row r="3116" spans="1:3" x14ac:dyDescent="0.25">
      <c r="A3116" s="631">
        <v>7001021</v>
      </c>
      <c r="B3116" s="632" t="s">
        <v>3886</v>
      </c>
      <c r="C3116" s="632">
        <v>74</v>
      </c>
    </row>
    <row r="3117" spans="1:3" x14ac:dyDescent="0.25">
      <c r="A3117" s="631">
        <v>7110530</v>
      </c>
      <c r="B3117" s="632" t="s">
        <v>3887</v>
      </c>
      <c r="C3117" s="632">
        <v>3629</v>
      </c>
    </row>
    <row r="3118" spans="1:3" x14ac:dyDescent="0.25">
      <c r="A3118" s="631">
        <v>7110531</v>
      </c>
      <c r="B3118" s="632" t="s">
        <v>3888</v>
      </c>
      <c r="C3118" s="632">
        <v>3629</v>
      </c>
    </row>
    <row r="3119" spans="1:3" x14ac:dyDescent="0.25">
      <c r="A3119" s="631">
        <v>7110532</v>
      </c>
      <c r="B3119" s="632" t="s">
        <v>3889</v>
      </c>
      <c r="C3119" s="632">
        <v>3629</v>
      </c>
    </row>
    <row r="3120" spans="1:3" x14ac:dyDescent="0.25">
      <c r="A3120" s="631">
        <v>7110533</v>
      </c>
      <c r="B3120" s="632" t="s">
        <v>3890</v>
      </c>
      <c r="C3120" s="632">
        <v>3629</v>
      </c>
    </row>
    <row r="3121" spans="1:3" x14ac:dyDescent="0.25">
      <c r="A3121" s="631">
        <v>7110534</v>
      </c>
      <c r="B3121" s="632" t="s">
        <v>3891</v>
      </c>
      <c r="C3121" s="632">
        <v>3629</v>
      </c>
    </row>
    <row r="3122" spans="1:3" x14ac:dyDescent="0.25">
      <c r="A3122" s="631">
        <v>7110535</v>
      </c>
      <c r="B3122" s="632" t="s">
        <v>3892</v>
      </c>
      <c r="C3122" s="632">
        <v>3629</v>
      </c>
    </row>
    <row r="3123" spans="1:3" x14ac:dyDescent="0.25">
      <c r="A3123" s="631">
        <v>7110536</v>
      </c>
      <c r="B3123" s="632" t="s">
        <v>3893</v>
      </c>
      <c r="C3123" s="632">
        <v>3629</v>
      </c>
    </row>
    <row r="3124" spans="1:3" x14ac:dyDescent="0.25">
      <c r="A3124" s="631">
        <v>7110584</v>
      </c>
      <c r="B3124" s="632" t="s">
        <v>3894</v>
      </c>
      <c r="C3124" s="632">
        <v>3629</v>
      </c>
    </row>
    <row r="3125" spans="1:3" x14ac:dyDescent="0.25">
      <c r="A3125" s="631">
        <v>7110585</v>
      </c>
      <c r="B3125" s="632" t="s">
        <v>3895</v>
      </c>
      <c r="C3125" s="632">
        <v>3629</v>
      </c>
    </row>
    <row r="3126" spans="1:3" x14ac:dyDescent="0.25">
      <c r="A3126" s="631">
        <v>7110586</v>
      </c>
      <c r="B3126" s="632" t="s">
        <v>3896</v>
      </c>
      <c r="C3126" s="632">
        <v>3629</v>
      </c>
    </row>
    <row r="3127" spans="1:3" x14ac:dyDescent="0.25">
      <c r="A3127" s="631">
        <v>7110587</v>
      </c>
      <c r="B3127" s="632" t="s">
        <v>3897</v>
      </c>
      <c r="C3127" s="632">
        <v>3629</v>
      </c>
    </row>
    <row r="3128" spans="1:3" x14ac:dyDescent="0.25">
      <c r="A3128" s="631">
        <v>7110588</v>
      </c>
      <c r="B3128" s="632" t="s">
        <v>3898</v>
      </c>
      <c r="C3128" s="632">
        <v>3629</v>
      </c>
    </row>
    <row r="3129" spans="1:3" x14ac:dyDescent="0.25">
      <c r="A3129" s="631" t="s">
        <v>3899</v>
      </c>
      <c r="B3129" s="632" t="s">
        <v>3900</v>
      </c>
      <c r="C3129" s="632">
        <v>5408</v>
      </c>
    </row>
    <row r="3130" spans="1:3" x14ac:dyDescent="0.25">
      <c r="A3130" s="631" t="s">
        <v>3901</v>
      </c>
      <c r="B3130" s="632" t="s">
        <v>3902</v>
      </c>
      <c r="C3130" s="632">
        <v>6240</v>
      </c>
    </row>
    <row r="3131" spans="1:3" x14ac:dyDescent="0.25">
      <c r="A3131" s="631" t="s">
        <v>3903</v>
      </c>
      <c r="B3131" s="632" t="s">
        <v>3904</v>
      </c>
      <c r="C3131" s="632">
        <v>6240</v>
      </c>
    </row>
    <row r="3132" spans="1:3" x14ac:dyDescent="0.25">
      <c r="A3132" s="631" t="s">
        <v>3905</v>
      </c>
      <c r="B3132" s="632" t="s">
        <v>3906</v>
      </c>
      <c r="C3132" s="632">
        <v>6240</v>
      </c>
    </row>
    <row r="3133" spans="1:3" x14ac:dyDescent="0.25">
      <c r="A3133" s="631" t="s">
        <v>3907</v>
      </c>
      <c r="B3133" s="632" t="s">
        <v>3908</v>
      </c>
      <c r="C3133" s="632">
        <v>6240</v>
      </c>
    </row>
    <row r="3134" spans="1:3" x14ac:dyDescent="0.25">
      <c r="A3134" s="631" t="s">
        <v>3909</v>
      </c>
      <c r="B3134" s="632" t="s">
        <v>3910</v>
      </c>
      <c r="C3134" s="632">
        <v>6240</v>
      </c>
    </row>
    <row r="3135" spans="1:3" x14ac:dyDescent="0.25">
      <c r="A3135" s="631">
        <v>7110702</v>
      </c>
      <c r="B3135" s="632" t="s">
        <v>3911</v>
      </c>
      <c r="C3135" s="632">
        <v>6240</v>
      </c>
    </row>
    <row r="3136" spans="1:3" x14ac:dyDescent="0.25">
      <c r="A3136" s="631" t="s">
        <v>3912</v>
      </c>
      <c r="B3136" s="632" t="s">
        <v>3913</v>
      </c>
      <c r="C3136" s="632">
        <v>6240</v>
      </c>
    </row>
    <row r="3137" spans="1:3" x14ac:dyDescent="0.25">
      <c r="A3137" s="631" t="s">
        <v>3914</v>
      </c>
      <c r="B3137" s="632" t="s">
        <v>3915</v>
      </c>
      <c r="C3137" s="632">
        <v>6240</v>
      </c>
    </row>
    <row r="3138" spans="1:3" x14ac:dyDescent="0.25">
      <c r="A3138" s="631" t="s">
        <v>3916</v>
      </c>
      <c r="B3138" s="632" t="s">
        <v>3917</v>
      </c>
      <c r="C3138" s="632">
        <v>6240</v>
      </c>
    </row>
    <row r="3139" spans="1:3" x14ac:dyDescent="0.25">
      <c r="A3139" s="631" t="s">
        <v>3918</v>
      </c>
      <c r="B3139" s="632" t="s">
        <v>3919</v>
      </c>
      <c r="C3139" s="632">
        <v>6240</v>
      </c>
    </row>
    <row r="3140" spans="1:3" x14ac:dyDescent="0.25">
      <c r="A3140" s="631" t="s">
        <v>3920</v>
      </c>
      <c r="B3140" s="632" t="s">
        <v>3921</v>
      </c>
      <c r="C3140" s="632">
        <v>6240</v>
      </c>
    </row>
    <row r="3141" spans="1:3" x14ac:dyDescent="0.25">
      <c r="A3141" s="631" t="s">
        <v>3922</v>
      </c>
      <c r="B3141" s="632" t="s">
        <v>3923</v>
      </c>
      <c r="C3141" s="632">
        <v>6240</v>
      </c>
    </row>
    <row r="3142" spans="1:3" x14ac:dyDescent="0.25">
      <c r="A3142" s="631" t="s">
        <v>3924</v>
      </c>
      <c r="B3142" s="632" t="s">
        <v>3925</v>
      </c>
      <c r="C3142" s="632">
        <v>6240</v>
      </c>
    </row>
    <row r="3143" spans="1:3" x14ac:dyDescent="0.25">
      <c r="A3143" s="631" t="s">
        <v>3926</v>
      </c>
      <c r="B3143" s="632" t="s">
        <v>3927</v>
      </c>
      <c r="C3143" s="632">
        <v>6240</v>
      </c>
    </row>
    <row r="3144" spans="1:3" x14ac:dyDescent="0.25">
      <c r="A3144" s="631" t="s">
        <v>3928</v>
      </c>
      <c r="B3144" s="632" t="s">
        <v>3929</v>
      </c>
      <c r="C3144" s="632">
        <v>6240</v>
      </c>
    </row>
    <row r="3145" spans="1:3" x14ac:dyDescent="0.25">
      <c r="A3145" s="631">
        <v>7110711</v>
      </c>
      <c r="B3145" s="632" t="s">
        <v>3930</v>
      </c>
      <c r="C3145" s="632">
        <v>6240</v>
      </c>
    </row>
    <row r="3146" spans="1:3" x14ac:dyDescent="0.25">
      <c r="A3146" s="631">
        <v>7110712</v>
      </c>
      <c r="B3146" s="632" t="s">
        <v>3931</v>
      </c>
      <c r="C3146" s="632">
        <v>6240</v>
      </c>
    </row>
    <row r="3147" spans="1:3" x14ac:dyDescent="0.25">
      <c r="A3147" s="631">
        <v>7120616</v>
      </c>
      <c r="B3147" s="632" t="s">
        <v>3932</v>
      </c>
      <c r="C3147" s="632">
        <v>1340</v>
      </c>
    </row>
    <row r="3148" spans="1:3" x14ac:dyDescent="0.25">
      <c r="A3148" s="631" t="s">
        <v>4407</v>
      </c>
      <c r="B3148" s="632" t="s">
        <v>3929</v>
      </c>
      <c r="C3148" s="632">
        <v>6240</v>
      </c>
    </row>
    <row r="3149" spans="1:3" x14ac:dyDescent="0.25">
      <c r="A3149" s="631">
        <v>7150121</v>
      </c>
      <c r="B3149" s="632" t="s">
        <v>3933</v>
      </c>
      <c r="C3149" s="632">
        <v>8143</v>
      </c>
    </row>
    <row r="3150" spans="1:3" x14ac:dyDescent="0.25">
      <c r="A3150" s="631">
        <v>7150341</v>
      </c>
      <c r="B3150" s="632" t="s">
        <v>3934</v>
      </c>
      <c r="C3150" s="632">
        <v>16756</v>
      </c>
    </row>
    <row r="3151" spans="1:3" x14ac:dyDescent="0.25">
      <c r="A3151" s="631">
        <v>7150460</v>
      </c>
      <c r="B3151" s="632" t="s">
        <v>3935</v>
      </c>
      <c r="C3151" s="632">
        <v>6788</v>
      </c>
    </row>
    <row r="3152" spans="1:3" x14ac:dyDescent="0.25">
      <c r="A3152" s="631">
        <v>7150461</v>
      </c>
      <c r="B3152" s="632" t="s">
        <v>3936</v>
      </c>
      <c r="C3152" s="632">
        <v>6788</v>
      </c>
    </row>
    <row r="3153" spans="1:3" x14ac:dyDescent="0.25">
      <c r="A3153" s="631">
        <v>7150462</v>
      </c>
      <c r="B3153" s="632" t="s">
        <v>3937</v>
      </c>
      <c r="C3153" s="632">
        <v>6788</v>
      </c>
    </row>
    <row r="3154" spans="1:3" x14ac:dyDescent="0.25">
      <c r="A3154" s="631">
        <v>7150508</v>
      </c>
      <c r="B3154" s="632" t="s">
        <v>4408</v>
      </c>
      <c r="C3154" s="632">
        <v>0</v>
      </c>
    </row>
    <row r="3155" spans="1:3" x14ac:dyDescent="0.25">
      <c r="A3155" s="631">
        <v>7150556</v>
      </c>
      <c r="B3155" s="632" t="s">
        <v>3938</v>
      </c>
      <c r="C3155" s="632">
        <v>6788</v>
      </c>
    </row>
    <row r="3156" spans="1:3" x14ac:dyDescent="0.25">
      <c r="A3156" s="631">
        <v>7150603</v>
      </c>
      <c r="B3156" s="632" t="s">
        <v>3939</v>
      </c>
      <c r="C3156" s="632">
        <v>5780</v>
      </c>
    </row>
    <row r="3157" spans="1:3" x14ac:dyDescent="0.25">
      <c r="A3157" s="631">
        <v>7150605</v>
      </c>
      <c r="B3157" s="632" t="s">
        <v>3940</v>
      </c>
      <c r="C3157" s="632">
        <v>6240</v>
      </c>
    </row>
    <row r="3158" spans="1:3" x14ac:dyDescent="0.25">
      <c r="A3158" s="631">
        <v>7150615</v>
      </c>
      <c r="B3158" s="632" t="s">
        <v>3941</v>
      </c>
      <c r="C3158" s="632">
        <v>6240</v>
      </c>
    </row>
    <row r="3159" spans="1:3" x14ac:dyDescent="0.25">
      <c r="A3159" s="631">
        <v>7150616</v>
      </c>
      <c r="B3159" s="632" t="s">
        <v>3942</v>
      </c>
      <c r="C3159" s="632">
        <v>6240</v>
      </c>
    </row>
    <row r="3160" spans="1:3" x14ac:dyDescent="0.25">
      <c r="A3160" s="631">
        <v>7150618</v>
      </c>
      <c r="B3160" s="632" t="s">
        <v>3943</v>
      </c>
      <c r="C3160" s="632">
        <v>8840</v>
      </c>
    </row>
    <row r="3161" spans="1:3" x14ac:dyDescent="0.25">
      <c r="A3161" s="631">
        <v>7151003</v>
      </c>
      <c r="B3161" s="632" t="s">
        <v>3944</v>
      </c>
      <c r="C3161" s="632">
        <v>6240</v>
      </c>
    </row>
    <row r="3162" spans="1:3" x14ac:dyDescent="0.25">
      <c r="A3162" s="631">
        <v>7151004</v>
      </c>
      <c r="B3162" s="632" t="s">
        <v>3945</v>
      </c>
      <c r="C3162" s="632">
        <v>6240</v>
      </c>
    </row>
    <row r="3163" spans="1:3" x14ac:dyDescent="0.25">
      <c r="A3163" s="631">
        <v>7151005</v>
      </c>
      <c r="B3163" s="632" t="s">
        <v>3946</v>
      </c>
      <c r="C3163" s="632">
        <v>6240</v>
      </c>
    </row>
    <row r="3164" spans="1:3" x14ac:dyDescent="0.25">
      <c r="A3164" s="631">
        <v>7151006</v>
      </c>
      <c r="B3164" s="632" t="s">
        <v>3947</v>
      </c>
      <c r="C3164" s="632">
        <v>6240</v>
      </c>
    </row>
    <row r="3165" spans="1:3" x14ac:dyDescent="0.25">
      <c r="A3165" s="631">
        <v>7151007</v>
      </c>
      <c r="B3165" s="632" t="s">
        <v>3948</v>
      </c>
      <c r="C3165" s="632">
        <v>6240</v>
      </c>
    </row>
    <row r="3166" spans="1:3" x14ac:dyDescent="0.25">
      <c r="A3166" s="631">
        <v>7151008</v>
      </c>
      <c r="B3166" s="632" t="s">
        <v>3949</v>
      </c>
      <c r="C3166" s="632">
        <v>6240</v>
      </c>
    </row>
    <row r="3167" spans="1:3" x14ac:dyDescent="0.25">
      <c r="A3167" s="631">
        <v>7151009</v>
      </c>
      <c r="B3167" s="632" t="s">
        <v>3950</v>
      </c>
      <c r="C3167" s="632">
        <v>6240</v>
      </c>
    </row>
    <row r="3168" spans="1:3" x14ac:dyDescent="0.25">
      <c r="A3168" s="631">
        <v>7151010</v>
      </c>
      <c r="B3168" s="632" t="s">
        <v>3951</v>
      </c>
      <c r="C3168" s="632">
        <v>6240</v>
      </c>
    </row>
    <row r="3169" spans="1:3" x14ac:dyDescent="0.25">
      <c r="A3169" s="631">
        <v>7151011</v>
      </c>
      <c r="B3169" s="632" t="s">
        <v>3952</v>
      </c>
      <c r="C3169" s="632">
        <v>6240</v>
      </c>
    </row>
    <row r="3170" spans="1:3" x14ac:dyDescent="0.25">
      <c r="A3170" s="631">
        <v>7151012</v>
      </c>
      <c r="B3170" s="632" t="s">
        <v>3953</v>
      </c>
      <c r="C3170" s="632">
        <v>6387</v>
      </c>
    </row>
    <row r="3171" spans="1:3" x14ac:dyDescent="0.25">
      <c r="A3171" s="631">
        <v>7151013</v>
      </c>
      <c r="B3171" s="632" t="s">
        <v>3954</v>
      </c>
      <c r="C3171" s="632">
        <v>7680</v>
      </c>
    </row>
    <row r="3172" spans="1:3" x14ac:dyDescent="0.25">
      <c r="A3172" s="631">
        <v>7151014</v>
      </c>
      <c r="B3172" s="632" t="s">
        <v>3955</v>
      </c>
      <c r="C3172" s="632">
        <v>7680</v>
      </c>
    </row>
    <row r="3173" spans="1:3" x14ac:dyDescent="0.25">
      <c r="A3173" s="631">
        <v>7151015</v>
      </c>
      <c r="B3173" s="632" t="s">
        <v>3956</v>
      </c>
      <c r="C3173" s="632">
        <v>6240</v>
      </c>
    </row>
    <row r="3174" spans="1:3" x14ac:dyDescent="0.25">
      <c r="A3174" s="631">
        <v>7151016</v>
      </c>
      <c r="B3174" s="632" t="s">
        <v>3957</v>
      </c>
      <c r="C3174" s="632">
        <v>6240</v>
      </c>
    </row>
    <row r="3175" spans="1:3" x14ac:dyDescent="0.25">
      <c r="A3175" s="631">
        <v>7151017</v>
      </c>
      <c r="B3175" s="632" t="s">
        <v>3958</v>
      </c>
      <c r="C3175" s="632">
        <v>6240</v>
      </c>
    </row>
    <row r="3176" spans="1:3" x14ac:dyDescent="0.25">
      <c r="A3176" s="631">
        <v>7151018</v>
      </c>
      <c r="B3176" s="632" t="s">
        <v>3959</v>
      </c>
      <c r="C3176" s="632">
        <v>6240</v>
      </c>
    </row>
    <row r="3177" spans="1:3" x14ac:dyDescent="0.25">
      <c r="A3177" s="631">
        <v>7151019</v>
      </c>
      <c r="B3177" s="632" t="s">
        <v>3960</v>
      </c>
      <c r="C3177" s="632">
        <v>6240</v>
      </c>
    </row>
    <row r="3178" spans="1:3" x14ac:dyDescent="0.25">
      <c r="A3178" s="631">
        <v>7151020</v>
      </c>
      <c r="B3178" s="632" t="s">
        <v>3961</v>
      </c>
      <c r="C3178" s="632">
        <v>6240</v>
      </c>
    </row>
    <row r="3179" spans="1:3" x14ac:dyDescent="0.25">
      <c r="A3179" s="631">
        <v>7151021</v>
      </c>
      <c r="B3179" s="632" t="s">
        <v>3962</v>
      </c>
      <c r="C3179" s="632">
        <v>7000</v>
      </c>
    </row>
    <row r="3180" spans="1:3" x14ac:dyDescent="0.25">
      <c r="A3180" s="631">
        <v>7151022</v>
      </c>
      <c r="B3180" s="632" t="s">
        <v>3963</v>
      </c>
      <c r="C3180" s="632">
        <v>6240</v>
      </c>
    </row>
    <row r="3181" spans="1:3" x14ac:dyDescent="0.25">
      <c r="A3181" s="631">
        <v>7151024</v>
      </c>
      <c r="B3181" s="632" t="s">
        <v>3964</v>
      </c>
      <c r="C3181" s="632">
        <v>6240</v>
      </c>
    </row>
    <row r="3182" spans="1:3" x14ac:dyDescent="0.25">
      <c r="A3182" s="631">
        <v>7151025</v>
      </c>
      <c r="B3182" s="632" t="s">
        <v>3965</v>
      </c>
      <c r="C3182" s="632">
        <v>6999</v>
      </c>
    </row>
    <row r="3183" spans="1:3" x14ac:dyDescent="0.25">
      <c r="A3183" s="631">
        <v>7151026</v>
      </c>
      <c r="B3183" s="632" t="s">
        <v>3966</v>
      </c>
      <c r="C3183" s="632">
        <v>6240</v>
      </c>
    </row>
    <row r="3184" spans="1:3" x14ac:dyDescent="0.25">
      <c r="A3184" s="631">
        <v>7151027</v>
      </c>
      <c r="B3184" s="632" t="s">
        <v>3613</v>
      </c>
      <c r="C3184" s="632">
        <v>6240</v>
      </c>
    </row>
    <row r="3185" spans="1:3" x14ac:dyDescent="0.25">
      <c r="A3185" s="631" t="s">
        <v>4409</v>
      </c>
      <c r="B3185" s="632" t="s">
        <v>4410</v>
      </c>
      <c r="C3185" s="632">
        <v>25000</v>
      </c>
    </row>
    <row r="3186" spans="1:3" x14ac:dyDescent="0.25">
      <c r="A3186" s="631">
        <v>7170018</v>
      </c>
      <c r="B3186" s="632" t="s">
        <v>3967</v>
      </c>
      <c r="C3186" s="632">
        <v>3000</v>
      </c>
    </row>
    <row r="3187" spans="1:3" x14ac:dyDescent="0.25">
      <c r="A3187" s="631">
        <v>7170026</v>
      </c>
      <c r="B3187" s="632" t="s">
        <v>3968</v>
      </c>
      <c r="C3187" s="632">
        <v>3759</v>
      </c>
    </row>
    <row r="3188" spans="1:3" x14ac:dyDescent="0.25">
      <c r="A3188" s="631">
        <v>7170100</v>
      </c>
      <c r="B3188" s="632" t="s">
        <v>3969</v>
      </c>
      <c r="C3188" s="632">
        <v>3759</v>
      </c>
    </row>
    <row r="3189" spans="1:3" x14ac:dyDescent="0.25">
      <c r="A3189" s="631">
        <v>7170101</v>
      </c>
      <c r="B3189" s="632" t="s">
        <v>3970</v>
      </c>
      <c r="C3189" s="632">
        <v>3759</v>
      </c>
    </row>
    <row r="3190" spans="1:3" x14ac:dyDescent="0.25">
      <c r="A3190" s="631">
        <v>7170102</v>
      </c>
      <c r="B3190" s="632" t="s">
        <v>3971</v>
      </c>
      <c r="C3190" s="632">
        <v>3759</v>
      </c>
    </row>
    <row r="3191" spans="1:3" x14ac:dyDescent="0.25">
      <c r="A3191" s="631">
        <v>7170103</v>
      </c>
      <c r="B3191" s="632" t="s">
        <v>3972</v>
      </c>
      <c r="C3191" s="632">
        <v>3120</v>
      </c>
    </row>
    <row r="3192" spans="1:3" x14ac:dyDescent="0.25">
      <c r="A3192" s="631">
        <v>7170178</v>
      </c>
      <c r="B3192" s="632" t="s">
        <v>3973</v>
      </c>
      <c r="C3192" s="632">
        <v>3120</v>
      </c>
    </row>
    <row r="3193" spans="1:3" x14ac:dyDescent="0.25">
      <c r="A3193" s="631">
        <v>7170190</v>
      </c>
      <c r="B3193" s="632" t="s">
        <v>3974</v>
      </c>
      <c r="C3193" s="632">
        <v>3000</v>
      </c>
    </row>
    <row r="3194" spans="1:3" x14ac:dyDescent="0.25">
      <c r="A3194" s="631">
        <v>7170191</v>
      </c>
      <c r="B3194" s="632" t="s">
        <v>3975</v>
      </c>
      <c r="C3194" s="632">
        <v>3000</v>
      </c>
    </row>
    <row r="3195" spans="1:3" x14ac:dyDescent="0.25">
      <c r="A3195" s="631">
        <v>7170192</v>
      </c>
      <c r="B3195" s="632" t="s">
        <v>3976</v>
      </c>
      <c r="C3195" s="632">
        <v>3000</v>
      </c>
    </row>
    <row r="3196" spans="1:3" x14ac:dyDescent="0.25">
      <c r="A3196" s="631">
        <v>7170194</v>
      </c>
      <c r="B3196" s="632" t="s">
        <v>3977</v>
      </c>
      <c r="C3196" s="632">
        <v>3120</v>
      </c>
    </row>
    <row r="3197" spans="1:3" x14ac:dyDescent="0.25">
      <c r="A3197" s="631">
        <v>7170195</v>
      </c>
      <c r="B3197" s="632" t="s">
        <v>3978</v>
      </c>
      <c r="C3197" s="632">
        <v>3120</v>
      </c>
    </row>
    <row r="3198" spans="1:3" x14ac:dyDescent="0.25">
      <c r="A3198" s="631">
        <v>7170196</v>
      </c>
      <c r="B3198" s="632" t="s">
        <v>3979</v>
      </c>
      <c r="C3198" s="632">
        <v>3120</v>
      </c>
    </row>
    <row r="3199" spans="1:3" x14ac:dyDescent="0.25">
      <c r="A3199" s="631">
        <v>7170197</v>
      </c>
      <c r="B3199" s="632" t="s">
        <v>3980</v>
      </c>
      <c r="C3199" s="632">
        <v>3120</v>
      </c>
    </row>
    <row r="3200" spans="1:3" x14ac:dyDescent="0.25">
      <c r="A3200" s="631">
        <v>7170198</v>
      </c>
      <c r="B3200" s="632" t="s">
        <v>3981</v>
      </c>
      <c r="C3200" s="632">
        <v>3120</v>
      </c>
    </row>
    <row r="3201" spans="1:3" x14ac:dyDescent="0.25">
      <c r="A3201" s="631">
        <v>7170199</v>
      </c>
      <c r="B3201" s="632" t="s">
        <v>3982</v>
      </c>
      <c r="C3201" s="632">
        <v>3120</v>
      </c>
    </row>
    <row r="3202" spans="1:3" x14ac:dyDescent="0.25">
      <c r="A3202" s="631">
        <v>7170200</v>
      </c>
      <c r="B3202" s="632" t="s">
        <v>3983</v>
      </c>
      <c r="C3202" s="632">
        <v>4440</v>
      </c>
    </row>
    <row r="3203" spans="1:3" x14ac:dyDescent="0.25">
      <c r="A3203" s="631">
        <v>7170268</v>
      </c>
      <c r="B3203" s="632" t="s">
        <v>3984</v>
      </c>
      <c r="C3203" s="632">
        <v>3120</v>
      </c>
    </row>
    <row r="3204" spans="1:3" x14ac:dyDescent="0.25">
      <c r="A3204" s="631">
        <v>7170273</v>
      </c>
      <c r="B3204" s="632" t="s">
        <v>3985</v>
      </c>
      <c r="C3204" s="632">
        <v>3120</v>
      </c>
    </row>
    <row r="3205" spans="1:3" x14ac:dyDescent="0.25">
      <c r="A3205" s="631">
        <v>7170275</v>
      </c>
      <c r="B3205" s="632" t="s">
        <v>3986</v>
      </c>
      <c r="C3205" s="632">
        <v>3120</v>
      </c>
    </row>
    <row r="3206" spans="1:3" x14ac:dyDescent="0.25">
      <c r="A3206" s="631">
        <v>7170977</v>
      </c>
      <c r="B3206" s="632" t="s">
        <v>3987</v>
      </c>
      <c r="C3206" s="632">
        <v>3840</v>
      </c>
    </row>
    <row r="3207" spans="1:3" x14ac:dyDescent="0.25">
      <c r="A3207" s="631">
        <v>7170985</v>
      </c>
      <c r="B3207" s="632" t="s">
        <v>3988</v>
      </c>
      <c r="C3207" s="632">
        <v>2842</v>
      </c>
    </row>
    <row r="3208" spans="1:3" x14ac:dyDescent="0.25">
      <c r="A3208" s="631">
        <v>7170990</v>
      </c>
      <c r="B3208" s="632" t="s">
        <v>3989</v>
      </c>
      <c r="C3208" s="632">
        <v>3000</v>
      </c>
    </row>
    <row r="3209" spans="1:3" x14ac:dyDescent="0.25">
      <c r="A3209" s="631">
        <v>7170991</v>
      </c>
      <c r="B3209" s="632" t="s">
        <v>3990</v>
      </c>
      <c r="C3209" s="632">
        <v>4270</v>
      </c>
    </row>
    <row r="3210" spans="1:3" x14ac:dyDescent="0.25">
      <c r="A3210" s="631">
        <v>7170993</v>
      </c>
      <c r="B3210" s="632" t="s">
        <v>3991</v>
      </c>
      <c r="C3210" s="632">
        <v>0</v>
      </c>
    </row>
    <row r="3211" spans="1:3" x14ac:dyDescent="0.25">
      <c r="A3211" s="631">
        <v>7170995</v>
      </c>
      <c r="B3211" s="632" t="s">
        <v>3992</v>
      </c>
      <c r="C3211" s="632">
        <v>4680</v>
      </c>
    </row>
    <row r="3212" spans="1:3" x14ac:dyDescent="0.25">
      <c r="A3212" s="631">
        <v>7170996</v>
      </c>
      <c r="B3212" s="632" t="s">
        <v>4411</v>
      </c>
      <c r="C3212" s="632">
        <v>3962</v>
      </c>
    </row>
    <row r="3213" spans="1:3" x14ac:dyDescent="0.25">
      <c r="A3213" s="631">
        <v>7190004</v>
      </c>
      <c r="B3213" s="632" t="s">
        <v>3993</v>
      </c>
      <c r="C3213" s="632">
        <v>2756</v>
      </c>
    </row>
    <row r="3214" spans="1:3" x14ac:dyDescent="0.25">
      <c r="A3214" s="631">
        <v>7190027</v>
      </c>
      <c r="B3214" s="632" t="s">
        <v>3994</v>
      </c>
      <c r="C3214" s="632">
        <v>3392</v>
      </c>
    </row>
    <row r="3215" spans="1:3" x14ac:dyDescent="0.25">
      <c r="A3215" s="631">
        <v>7190032</v>
      </c>
      <c r="B3215" s="632" t="s">
        <v>3995</v>
      </c>
      <c r="C3215" s="632">
        <v>2756</v>
      </c>
    </row>
    <row r="3216" spans="1:3" x14ac:dyDescent="0.25">
      <c r="A3216" s="631">
        <v>7190044</v>
      </c>
      <c r="B3216" s="632" t="s">
        <v>3996</v>
      </c>
      <c r="C3216" s="632">
        <v>2756</v>
      </c>
    </row>
    <row r="3217" spans="1:3" x14ac:dyDescent="0.25">
      <c r="A3217" s="631">
        <v>7190046</v>
      </c>
      <c r="B3217" s="632" t="s">
        <v>3997</v>
      </c>
      <c r="C3217" s="632">
        <v>2392</v>
      </c>
    </row>
    <row r="3218" spans="1:3" x14ac:dyDescent="0.25">
      <c r="A3218" s="631">
        <v>7190047</v>
      </c>
      <c r="B3218" s="632" t="s">
        <v>3998</v>
      </c>
      <c r="C3218" s="632">
        <v>2756</v>
      </c>
    </row>
    <row r="3219" spans="1:3" x14ac:dyDescent="0.25">
      <c r="A3219" s="631">
        <v>7190051</v>
      </c>
      <c r="B3219" s="632" t="s">
        <v>3999</v>
      </c>
      <c r="C3219" s="632">
        <v>2756</v>
      </c>
    </row>
    <row r="3220" spans="1:3" x14ac:dyDescent="0.25">
      <c r="A3220" s="631">
        <v>7190067</v>
      </c>
      <c r="B3220" s="632" t="s">
        <v>4000</v>
      </c>
      <c r="C3220" s="632">
        <v>2756</v>
      </c>
    </row>
    <row r="3221" spans="1:3" x14ac:dyDescent="0.25">
      <c r="A3221" s="631">
        <v>7190107</v>
      </c>
      <c r="B3221" s="632" t="s">
        <v>4001</v>
      </c>
      <c r="C3221" s="632">
        <v>2756</v>
      </c>
    </row>
    <row r="3222" spans="1:3" x14ac:dyDescent="0.25">
      <c r="A3222" s="631">
        <v>7190122</v>
      </c>
      <c r="B3222" s="632" t="s">
        <v>4002</v>
      </c>
      <c r="C3222" s="632">
        <v>2756</v>
      </c>
    </row>
    <row r="3223" spans="1:3" x14ac:dyDescent="0.25">
      <c r="A3223" s="631">
        <v>7190143</v>
      </c>
      <c r="B3223" s="632" t="s">
        <v>4003</v>
      </c>
      <c r="C3223" s="632">
        <v>2756</v>
      </c>
    </row>
    <row r="3224" spans="1:3" x14ac:dyDescent="0.25">
      <c r="A3224" s="631">
        <v>7190146</v>
      </c>
      <c r="B3224" s="632" t="s">
        <v>4004</v>
      </c>
      <c r="C3224" s="632">
        <v>2756</v>
      </c>
    </row>
    <row r="3225" spans="1:3" x14ac:dyDescent="0.25">
      <c r="A3225" s="631">
        <v>7190149</v>
      </c>
      <c r="B3225" s="632" t="s">
        <v>4005</v>
      </c>
      <c r="C3225" s="632">
        <v>3262</v>
      </c>
    </row>
    <row r="3226" spans="1:3" x14ac:dyDescent="0.25">
      <c r="A3226" s="631">
        <v>7190151</v>
      </c>
      <c r="B3226" s="632" t="s">
        <v>4006</v>
      </c>
      <c r="C3226" s="632">
        <v>2756</v>
      </c>
    </row>
    <row r="3227" spans="1:3" x14ac:dyDescent="0.25">
      <c r="A3227" s="631">
        <v>7210003</v>
      </c>
      <c r="B3227" s="632" t="s">
        <v>4007</v>
      </c>
      <c r="C3227" s="632">
        <v>461</v>
      </c>
    </row>
    <row r="3228" spans="1:3" x14ac:dyDescent="0.25">
      <c r="A3228" s="631">
        <v>7210006</v>
      </c>
      <c r="B3228" s="632" t="s">
        <v>4412</v>
      </c>
      <c r="C3228" s="632">
        <v>374</v>
      </c>
    </row>
    <row r="3229" spans="1:3" x14ac:dyDescent="0.25">
      <c r="A3229" s="631">
        <v>7220033</v>
      </c>
      <c r="B3229" s="632" t="s">
        <v>4008</v>
      </c>
      <c r="C3229" s="632">
        <v>4370</v>
      </c>
    </row>
    <row r="3230" spans="1:3" x14ac:dyDescent="0.25">
      <c r="A3230" s="631">
        <v>7220035</v>
      </c>
      <c r="B3230" s="632" t="s">
        <v>4009</v>
      </c>
      <c r="C3230" s="632">
        <v>4371</v>
      </c>
    </row>
    <row r="3231" spans="1:3" x14ac:dyDescent="0.25">
      <c r="A3231" s="631">
        <v>7220036</v>
      </c>
      <c r="B3231" s="632" t="s">
        <v>4010</v>
      </c>
      <c r="C3231" s="632">
        <v>4371</v>
      </c>
    </row>
    <row r="3232" spans="1:3" x14ac:dyDescent="0.25">
      <c r="A3232" s="631">
        <v>7220041</v>
      </c>
      <c r="B3232" s="632" t="s">
        <v>4011</v>
      </c>
      <c r="C3232" s="632">
        <v>0</v>
      </c>
    </row>
    <row r="3233" spans="1:3" x14ac:dyDescent="0.25">
      <c r="A3233" s="631">
        <v>7220042</v>
      </c>
      <c r="B3233" s="632" t="s">
        <v>4012</v>
      </c>
      <c r="C3233" s="632">
        <v>4371</v>
      </c>
    </row>
    <row r="3234" spans="1:3" x14ac:dyDescent="0.25">
      <c r="A3234" s="631">
        <v>7220046</v>
      </c>
      <c r="B3234" s="632" t="s">
        <v>4013</v>
      </c>
      <c r="C3234" s="632">
        <v>4371</v>
      </c>
    </row>
    <row r="3235" spans="1:3" x14ac:dyDescent="0.25">
      <c r="A3235" s="631">
        <v>7220047</v>
      </c>
      <c r="B3235" s="632" t="s">
        <v>4014</v>
      </c>
      <c r="C3235" s="632">
        <v>5466</v>
      </c>
    </row>
    <row r="3236" spans="1:3" x14ac:dyDescent="0.25">
      <c r="A3236" s="631">
        <v>7220049</v>
      </c>
      <c r="B3236" s="632" t="s">
        <v>4015</v>
      </c>
      <c r="C3236" s="632">
        <v>4371</v>
      </c>
    </row>
    <row r="3237" spans="1:3" x14ac:dyDescent="0.25">
      <c r="A3237" s="631">
        <v>7220050</v>
      </c>
      <c r="B3237" s="632" t="s">
        <v>4016</v>
      </c>
      <c r="C3237" s="632">
        <v>4371</v>
      </c>
    </row>
    <row r="3238" spans="1:3" x14ac:dyDescent="0.25">
      <c r="A3238" s="631">
        <v>7220054</v>
      </c>
      <c r="B3238" s="632" t="s">
        <v>4018</v>
      </c>
      <c r="C3238" s="632">
        <v>4371</v>
      </c>
    </row>
    <row r="3239" spans="1:3" x14ac:dyDescent="0.25">
      <c r="A3239" s="631">
        <v>7220057</v>
      </c>
      <c r="B3239" s="632" t="s">
        <v>4017</v>
      </c>
      <c r="C3239" s="632">
        <v>6042</v>
      </c>
    </row>
    <row r="3240" spans="1:3" x14ac:dyDescent="0.25">
      <c r="A3240" s="631">
        <v>7220070</v>
      </c>
      <c r="B3240" s="632" t="s">
        <v>4019</v>
      </c>
      <c r="C3240" s="632">
        <v>6013</v>
      </c>
    </row>
    <row r="3241" spans="1:3" x14ac:dyDescent="0.25">
      <c r="A3241" s="631">
        <v>7220071</v>
      </c>
      <c r="B3241" s="632" t="s">
        <v>4020</v>
      </c>
      <c r="C3241" s="632">
        <v>4371</v>
      </c>
    </row>
    <row r="3242" spans="1:3" x14ac:dyDescent="0.25">
      <c r="A3242" s="631">
        <v>7220073</v>
      </c>
      <c r="B3242" s="632" t="s">
        <v>4020</v>
      </c>
      <c r="C3242" s="632">
        <v>4371</v>
      </c>
    </row>
    <row r="3243" spans="1:3" x14ac:dyDescent="0.25">
      <c r="A3243" s="631">
        <v>7220076</v>
      </c>
      <c r="B3243" s="632" t="s">
        <v>4021</v>
      </c>
      <c r="C3243" s="632">
        <v>4371</v>
      </c>
    </row>
    <row r="3244" spans="1:3" x14ac:dyDescent="0.25">
      <c r="A3244" s="631">
        <v>7220079</v>
      </c>
      <c r="B3244" s="632" t="s">
        <v>4023</v>
      </c>
      <c r="C3244" s="632">
        <v>6032</v>
      </c>
    </row>
    <row r="3245" spans="1:3" x14ac:dyDescent="0.25">
      <c r="A3245" s="631">
        <v>7220080</v>
      </c>
      <c r="B3245" s="632" t="s">
        <v>4024</v>
      </c>
      <c r="C3245" s="632">
        <v>898</v>
      </c>
    </row>
    <row r="3246" spans="1:3" x14ac:dyDescent="0.25">
      <c r="A3246" s="631">
        <v>7220082</v>
      </c>
      <c r="B3246" s="632" t="s">
        <v>4025</v>
      </c>
      <c r="C3246" s="632">
        <v>4371</v>
      </c>
    </row>
    <row r="3247" spans="1:3" x14ac:dyDescent="0.25">
      <c r="A3247" s="631">
        <v>7220092</v>
      </c>
      <c r="B3247" s="632" t="s">
        <v>4021</v>
      </c>
      <c r="C3247" s="632">
        <v>4371</v>
      </c>
    </row>
    <row r="3248" spans="1:3" x14ac:dyDescent="0.25">
      <c r="A3248" s="631">
        <v>7220098</v>
      </c>
      <c r="B3248" s="632" t="s">
        <v>4027</v>
      </c>
      <c r="C3248" s="632">
        <v>4371</v>
      </c>
    </row>
    <row r="3249" spans="1:3" x14ac:dyDescent="0.25">
      <c r="A3249" s="631">
        <v>7220100</v>
      </c>
      <c r="B3249" s="632" t="s">
        <v>4026</v>
      </c>
      <c r="C3249" s="632">
        <v>5708</v>
      </c>
    </row>
    <row r="3250" spans="1:3" x14ac:dyDescent="0.25">
      <c r="A3250" s="631">
        <v>7220107</v>
      </c>
      <c r="B3250" s="632" t="s">
        <v>4028</v>
      </c>
      <c r="C3250" s="632">
        <v>30</v>
      </c>
    </row>
    <row r="3251" spans="1:3" x14ac:dyDescent="0.25">
      <c r="A3251" s="631">
        <v>7220108</v>
      </c>
      <c r="B3251" s="632" t="s">
        <v>4029</v>
      </c>
      <c r="C3251" s="632">
        <v>4370</v>
      </c>
    </row>
    <row r="3252" spans="1:3" x14ac:dyDescent="0.25">
      <c r="A3252" s="631">
        <v>7220111</v>
      </c>
      <c r="B3252" s="632" t="s">
        <v>4030</v>
      </c>
      <c r="C3252" s="632">
        <v>4451</v>
      </c>
    </row>
    <row r="3253" spans="1:3" x14ac:dyDescent="0.25">
      <c r="A3253" s="631">
        <v>7220115</v>
      </c>
      <c r="B3253" s="632" t="s">
        <v>4031</v>
      </c>
      <c r="C3253" s="632">
        <v>4451</v>
      </c>
    </row>
    <row r="3254" spans="1:3" x14ac:dyDescent="0.25">
      <c r="A3254" s="631">
        <v>7220116</v>
      </c>
      <c r="B3254" s="632" t="s">
        <v>4022</v>
      </c>
      <c r="C3254" s="632">
        <v>5881</v>
      </c>
    </row>
    <row r="3255" spans="1:3" x14ac:dyDescent="0.25">
      <c r="A3255" s="631">
        <v>7220168</v>
      </c>
      <c r="B3255" s="632" t="s">
        <v>4032</v>
      </c>
      <c r="C3255" s="632">
        <v>4451</v>
      </c>
    </row>
    <row r="3256" spans="1:3" x14ac:dyDescent="0.25">
      <c r="A3256" s="631">
        <v>7220170</v>
      </c>
      <c r="B3256" s="632" t="s">
        <v>4033</v>
      </c>
      <c r="C3256" s="632">
        <v>4614</v>
      </c>
    </row>
    <row r="3257" spans="1:3" x14ac:dyDescent="0.25">
      <c r="A3257" s="631">
        <v>7220172</v>
      </c>
      <c r="B3257" s="632" t="s">
        <v>570</v>
      </c>
      <c r="C3257" s="632">
        <v>5553</v>
      </c>
    </row>
    <row r="3258" spans="1:3" x14ac:dyDescent="0.25">
      <c r="A3258" s="631">
        <v>7220179</v>
      </c>
      <c r="B3258" s="632" t="s">
        <v>4034</v>
      </c>
      <c r="C3258" s="632">
        <v>5466</v>
      </c>
    </row>
    <row r="3259" spans="1:3" x14ac:dyDescent="0.25">
      <c r="A3259" s="631">
        <v>7220181</v>
      </c>
      <c r="B3259" s="632" t="s">
        <v>4026</v>
      </c>
      <c r="C3259" s="632">
        <v>5466</v>
      </c>
    </row>
    <row r="3260" spans="1:3" x14ac:dyDescent="0.25">
      <c r="A3260" s="631">
        <v>7220186</v>
      </c>
      <c r="B3260" s="632" t="s">
        <v>4035</v>
      </c>
      <c r="C3260" s="632">
        <v>271</v>
      </c>
    </row>
    <row r="3261" spans="1:3" x14ac:dyDescent="0.25">
      <c r="A3261" s="631">
        <v>7220188</v>
      </c>
      <c r="B3261" s="632" t="s">
        <v>4026</v>
      </c>
      <c r="C3261" s="632">
        <v>6013</v>
      </c>
    </row>
    <row r="3262" spans="1:3" x14ac:dyDescent="0.25">
      <c r="A3262" s="631">
        <v>7220201</v>
      </c>
      <c r="B3262" s="632" t="s">
        <v>570</v>
      </c>
      <c r="C3262" s="632">
        <v>6230</v>
      </c>
    </row>
    <row r="3263" spans="1:3" x14ac:dyDescent="0.25">
      <c r="A3263" s="631">
        <v>7220203</v>
      </c>
      <c r="B3263" s="632" t="s">
        <v>570</v>
      </c>
      <c r="C3263" s="632">
        <v>5931</v>
      </c>
    </row>
    <row r="3264" spans="1:3" x14ac:dyDescent="0.25">
      <c r="A3264" s="631">
        <v>7220206</v>
      </c>
      <c r="B3264" s="632" t="s">
        <v>4036</v>
      </c>
      <c r="C3264" s="632">
        <v>6259</v>
      </c>
    </row>
    <row r="3265" spans="1:3" x14ac:dyDescent="0.25">
      <c r="A3265" s="631">
        <v>7220207</v>
      </c>
      <c r="B3265" s="632" t="s">
        <v>570</v>
      </c>
      <c r="C3265" s="632">
        <v>6230</v>
      </c>
    </row>
    <row r="3266" spans="1:3" x14ac:dyDescent="0.25">
      <c r="A3266" s="631">
        <v>7220208</v>
      </c>
      <c r="B3266" s="632" t="s">
        <v>4037</v>
      </c>
      <c r="C3266" s="632">
        <v>4614</v>
      </c>
    </row>
    <row r="3267" spans="1:3" x14ac:dyDescent="0.25">
      <c r="A3267" s="631">
        <v>7220209</v>
      </c>
      <c r="B3267" s="632" t="s">
        <v>563</v>
      </c>
      <c r="C3267" s="632">
        <v>5912</v>
      </c>
    </row>
    <row r="3268" spans="1:3" x14ac:dyDescent="0.25">
      <c r="A3268" s="631">
        <v>7220210</v>
      </c>
      <c r="B3268" s="632" t="s">
        <v>563</v>
      </c>
      <c r="C3268" s="632">
        <v>5912</v>
      </c>
    </row>
    <row r="3269" spans="1:3" x14ac:dyDescent="0.25">
      <c r="A3269" s="631">
        <v>7220212</v>
      </c>
      <c r="B3269" s="632" t="s">
        <v>4038</v>
      </c>
      <c r="C3269" s="632">
        <v>4614</v>
      </c>
    </row>
    <row r="3270" spans="1:3" x14ac:dyDescent="0.25">
      <c r="A3270" s="631">
        <v>7220213</v>
      </c>
      <c r="B3270" s="632" t="s">
        <v>4039</v>
      </c>
      <c r="C3270" s="632">
        <v>5214</v>
      </c>
    </row>
    <row r="3271" spans="1:3" x14ac:dyDescent="0.25">
      <c r="A3271" s="631">
        <v>7220708</v>
      </c>
      <c r="B3271" s="632" t="s">
        <v>569</v>
      </c>
      <c r="C3271" s="632">
        <v>5287</v>
      </c>
    </row>
    <row r="3272" spans="1:3" x14ac:dyDescent="0.25">
      <c r="A3272" s="631">
        <v>7300003</v>
      </c>
      <c r="B3272" s="632" t="s">
        <v>4040</v>
      </c>
      <c r="C3272" s="632">
        <v>676</v>
      </c>
    </row>
    <row r="3273" spans="1:3" x14ac:dyDescent="0.25">
      <c r="A3273" s="631">
        <v>7300005</v>
      </c>
      <c r="B3273" s="632" t="s">
        <v>4413</v>
      </c>
      <c r="C3273" s="632">
        <v>650</v>
      </c>
    </row>
    <row r="3274" spans="1:3" x14ac:dyDescent="0.25">
      <c r="A3274" s="631">
        <v>7300006</v>
      </c>
      <c r="B3274" s="632" t="s">
        <v>4414</v>
      </c>
      <c r="C3274" s="632">
        <v>650</v>
      </c>
    </row>
    <row r="3275" spans="1:3" x14ac:dyDescent="0.25">
      <c r="A3275" s="631">
        <v>7300007</v>
      </c>
      <c r="B3275" s="632" t="s">
        <v>4415</v>
      </c>
      <c r="C3275" s="632">
        <v>650</v>
      </c>
    </row>
    <row r="3276" spans="1:3" x14ac:dyDescent="0.25">
      <c r="A3276" s="631">
        <v>7300008</v>
      </c>
      <c r="B3276" s="632" t="s">
        <v>4416</v>
      </c>
      <c r="C3276" s="632">
        <v>650</v>
      </c>
    </row>
    <row r="3277" spans="1:3" x14ac:dyDescent="0.25">
      <c r="A3277" s="631">
        <v>7300010</v>
      </c>
      <c r="B3277" s="632" t="s">
        <v>4417</v>
      </c>
      <c r="C3277" s="632">
        <v>650</v>
      </c>
    </row>
    <row r="3278" spans="1:3" x14ac:dyDescent="0.25">
      <c r="A3278" s="631">
        <v>7300011</v>
      </c>
      <c r="B3278" s="632" t="s">
        <v>4418</v>
      </c>
      <c r="C3278" s="632">
        <v>650</v>
      </c>
    </row>
    <row r="3279" spans="1:3" x14ac:dyDescent="0.25">
      <c r="A3279" s="631">
        <v>7300012</v>
      </c>
      <c r="B3279" s="632" t="s">
        <v>4413</v>
      </c>
      <c r="C3279" s="632">
        <v>650</v>
      </c>
    </row>
    <row r="3280" spans="1:3" x14ac:dyDescent="0.25">
      <c r="A3280" s="631">
        <v>8000510</v>
      </c>
      <c r="B3280" s="632" t="s">
        <v>4041</v>
      </c>
      <c r="C3280" s="632">
        <v>7</v>
      </c>
    </row>
    <row r="3281" spans="1:3" x14ac:dyDescent="0.25">
      <c r="A3281" s="631">
        <v>8000512</v>
      </c>
      <c r="B3281" s="632" t="s">
        <v>4042</v>
      </c>
      <c r="C3281" s="632">
        <v>7</v>
      </c>
    </row>
    <row r="3282" spans="1:3" x14ac:dyDescent="0.25">
      <c r="A3282" s="631">
        <v>8000516</v>
      </c>
      <c r="B3282" s="632" t="s">
        <v>4043</v>
      </c>
      <c r="C3282" s="632">
        <v>7</v>
      </c>
    </row>
    <row r="3283" spans="1:3" x14ac:dyDescent="0.25">
      <c r="A3283" s="631">
        <v>8000612</v>
      </c>
      <c r="B3283" s="632" t="s">
        <v>4044</v>
      </c>
      <c r="C3283" s="632">
        <v>7</v>
      </c>
    </row>
    <row r="3284" spans="1:3" x14ac:dyDescent="0.25">
      <c r="A3284" s="631">
        <v>8000616</v>
      </c>
      <c r="B3284" s="632" t="s">
        <v>4045</v>
      </c>
      <c r="C3284" s="632">
        <v>7</v>
      </c>
    </row>
    <row r="3285" spans="1:3" x14ac:dyDescent="0.25">
      <c r="A3285" s="631">
        <v>8000815</v>
      </c>
      <c r="B3285" s="632" t="s">
        <v>4046</v>
      </c>
      <c r="C3285" s="632">
        <v>8</v>
      </c>
    </row>
    <row r="3286" spans="1:3" x14ac:dyDescent="0.25">
      <c r="A3286" s="631">
        <v>8000818</v>
      </c>
      <c r="B3286" s="632" t="s">
        <v>4047</v>
      </c>
      <c r="C3286" s="632">
        <v>7</v>
      </c>
    </row>
    <row r="3287" spans="1:3" x14ac:dyDescent="0.25">
      <c r="A3287" s="631">
        <v>8000819</v>
      </c>
      <c r="B3287" s="632" t="s">
        <v>4048</v>
      </c>
      <c r="C3287" s="632">
        <v>8</v>
      </c>
    </row>
    <row r="3288" spans="1:3" x14ac:dyDescent="0.25">
      <c r="A3288" s="631">
        <v>8011622</v>
      </c>
      <c r="B3288" s="632" t="s">
        <v>4049</v>
      </c>
      <c r="C3288" s="632">
        <v>7</v>
      </c>
    </row>
    <row r="3289" spans="1:3" x14ac:dyDescent="0.25">
      <c r="A3289" s="631">
        <v>9000045</v>
      </c>
      <c r="B3289" s="632" t="s">
        <v>4050</v>
      </c>
      <c r="C3289" s="632">
        <v>7</v>
      </c>
    </row>
    <row r="3290" spans="1:3" x14ac:dyDescent="0.25">
      <c r="A3290" s="631">
        <v>9000112</v>
      </c>
      <c r="B3290" s="632" t="s">
        <v>4051</v>
      </c>
      <c r="C3290" s="632">
        <v>0</v>
      </c>
    </row>
    <row r="3291" spans="1:3" x14ac:dyDescent="0.25">
      <c r="A3291" s="631">
        <v>9000152</v>
      </c>
      <c r="B3291" s="632" t="s">
        <v>4419</v>
      </c>
      <c r="C3291" s="632">
        <v>0</v>
      </c>
    </row>
    <row r="3292" spans="1:3" x14ac:dyDescent="0.25">
      <c r="A3292" s="631">
        <v>9000159</v>
      </c>
      <c r="B3292" s="632" t="s">
        <v>4052</v>
      </c>
      <c r="C3292" s="632">
        <v>0</v>
      </c>
    </row>
    <row r="3293" spans="1:3" x14ac:dyDescent="0.25">
      <c r="A3293" s="631">
        <v>9000330</v>
      </c>
      <c r="B3293" s="632" t="s">
        <v>4053</v>
      </c>
      <c r="C3293" s="632">
        <v>7</v>
      </c>
    </row>
    <row r="3294" spans="1:3" x14ac:dyDescent="0.25">
      <c r="A3294" s="631">
        <v>9000362</v>
      </c>
      <c r="B3294" s="632" t="s">
        <v>4054</v>
      </c>
      <c r="C3294" s="632">
        <v>30</v>
      </c>
    </row>
    <row r="3295" spans="1:3" x14ac:dyDescent="0.25">
      <c r="A3295" s="631">
        <v>9000371</v>
      </c>
      <c r="B3295" s="632" t="s">
        <v>4055</v>
      </c>
      <c r="C3295" s="632">
        <v>12</v>
      </c>
    </row>
    <row r="3296" spans="1:3" x14ac:dyDescent="0.25">
      <c r="A3296" s="631">
        <v>9000373</v>
      </c>
      <c r="B3296" s="632" t="s">
        <v>4056</v>
      </c>
      <c r="C3296" s="632">
        <v>15</v>
      </c>
    </row>
    <row r="3297" spans="1:3" x14ac:dyDescent="0.25">
      <c r="A3297" s="631">
        <v>9000423</v>
      </c>
      <c r="B3297" s="632" t="s">
        <v>4057</v>
      </c>
      <c r="C3297" s="632">
        <v>21</v>
      </c>
    </row>
    <row r="3298" spans="1:3" x14ac:dyDescent="0.25">
      <c r="A3298" s="631">
        <v>9001612</v>
      </c>
      <c r="B3298" s="632" t="s">
        <v>4058</v>
      </c>
      <c r="C3298" s="632">
        <v>7</v>
      </c>
    </row>
    <row r="3299" spans="1:3" x14ac:dyDescent="0.25">
      <c r="A3299" s="631">
        <v>9003000</v>
      </c>
      <c r="B3299" s="632" t="s">
        <v>4059</v>
      </c>
      <c r="C3299" s="632">
        <v>383</v>
      </c>
    </row>
    <row r="3300" spans="1:3" x14ac:dyDescent="0.25">
      <c r="A3300" s="631">
        <v>9003231</v>
      </c>
      <c r="B3300" s="632" t="s">
        <v>4060</v>
      </c>
      <c r="C3300" s="632">
        <v>26</v>
      </c>
    </row>
    <row r="3301" spans="1:3" x14ac:dyDescent="0.25">
      <c r="A3301" s="631">
        <v>9004104</v>
      </c>
      <c r="B3301" s="632" t="s">
        <v>4061</v>
      </c>
      <c r="C3301" s="632">
        <v>0</v>
      </c>
    </row>
    <row r="3302" spans="1:3" x14ac:dyDescent="0.25">
      <c r="A3302" s="631">
        <v>9018008</v>
      </c>
      <c r="B3302" s="632" t="s">
        <v>4062</v>
      </c>
      <c r="C3302" s="632">
        <v>29</v>
      </c>
    </row>
    <row r="3303" spans="1:3" x14ac:dyDescent="0.25">
      <c r="A3303" s="631">
        <v>9018010</v>
      </c>
      <c r="B3303" s="632" t="s">
        <v>4063</v>
      </c>
      <c r="C3303" s="632">
        <v>29</v>
      </c>
    </row>
    <row r="3304" spans="1:3" x14ac:dyDescent="0.25">
      <c r="A3304" s="631">
        <v>9018016</v>
      </c>
      <c r="B3304" s="632" t="s">
        <v>4064</v>
      </c>
      <c r="C3304" s="632">
        <v>29</v>
      </c>
    </row>
    <row r="3305" spans="1:3" x14ac:dyDescent="0.25">
      <c r="A3305" s="631">
        <v>9024002</v>
      </c>
      <c r="B3305" s="632" t="s">
        <v>4065</v>
      </c>
      <c r="C3305" s="632">
        <v>13</v>
      </c>
    </row>
    <row r="3306" spans="1:3" x14ac:dyDescent="0.25">
      <c r="A3306" s="631">
        <v>9024008</v>
      </c>
      <c r="B3306" s="632" t="s">
        <v>4066</v>
      </c>
      <c r="C3306" s="632">
        <v>469</v>
      </c>
    </row>
    <row r="3307" spans="1:3" x14ac:dyDescent="0.25">
      <c r="A3307" s="631">
        <v>9024009</v>
      </c>
      <c r="B3307" s="632" t="s">
        <v>4067</v>
      </c>
      <c r="C3307" s="632">
        <v>469</v>
      </c>
    </row>
    <row r="3308" spans="1:3" x14ac:dyDescent="0.25">
      <c r="A3308" s="631">
        <v>9024012</v>
      </c>
      <c r="B3308" s="632" t="s">
        <v>4068</v>
      </c>
      <c r="C3308" s="632">
        <v>469</v>
      </c>
    </row>
    <row r="3309" spans="1:3" x14ac:dyDescent="0.25">
      <c r="A3309" s="631">
        <v>9024015</v>
      </c>
      <c r="B3309" s="632" t="s">
        <v>4069</v>
      </c>
      <c r="C3309" s="632">
        <v>13</v>
      </c>
    </row>
    <row r="3310" spans="1:3" x14ac:dyDescent="0.25">
      <c r="A3310" s="631">
        <v>9024016</v>
      </c>
      <c r="B3310" s="632" t="s">
        <v>4070</v>
      </c>
      <c r="C3310" s="632">
        <v>18</v>
      </c>
    </row>
    <row r="3311" spans="1:3" x14ac:dyDescent="0.25">
      <c r="A3311" s="631">
        <v>9030009</v>
      </c>
      <c r="B3311" s="632" t="s">
        <v>4071</v>
      </c>
      <c r="C3311" s="632">
        <v>75</v>
      </c>
    </row>
    <row r="3312" spans="1:3" x14ac:dyDescent="0.25">
      <c r="A3312" s="631">
        <v>9030013</v>
      </c>
      <c r="B3312" s="632" t="s">
        <v>4072</v>
      </c>
      <c r="C3312" s="632">
        <v>75</v>
      </c>
    </row>
    <row r="3313" spans="1:3" x14ac:dyDescent="0.25">
      <c r="A3313" s="631">
        <v>9030014</v>
      </c>
      <c r="B3313" s="632" t="s">
        <v>4073</v>
      </c>
      <c r="C3313" s="632">
        <v>75</v>
      </c>
    </row>
    <row r="3314" spans="1:3" x14ac:dyDescent="0.25">
      <c r="A3314" s="631">
        <v>9030015</v>
      </c>
      <c r="B3314" s="632" t="s">
        <v>4074</v>
      </c>
      <c r="C3314" s="632">
        <v>15</v>
      </c>
    </row>
    <row r="3315" spans="1:3" x14ac:dyDescent="0.25">
      <c r="A3315" s="631">
        <v>9030016</v>
      </c>
      <c r="B3315" s="632" t="s">
        <v>4075</v>
      </c>
      <c r="C3315" s="632">
        <v>16</v>
      </c>
    </row>
    <row r="3316" spans="1:3" x14ac:dyDescent="0.25">
      <c r="A3316" s="631">
        <v>9030017</v>
      </c>
      <c r="B3316" s="632" t="s">
        <v>4076</v>
      </c>
      <c r="C3316" s="632">
        <v>28</v>
      </c>
    </row>
    <row r="3317" spans="1:3" x14ac:dyDescent="0.25">
      <c r="A3317" s="631">
        <v>9030018</v>
      </c>
      <c r="B3317" s="632" t="s">
        <v>4077</v>
      </c>
      <c r="C3317" s="632">
        <v>83</v>
      </c>
    </row>
    <row r="3318" spans="1:3" x14ac:dyDescent="0.25">
      <c r="A3318" s="631">
        <v>9030100</v>
      </c>
      <c r="B3318" s="632" t="s">
        <v>4078</v>
      </c>
      <c r="C3318" s="632">
        <v>40</v>
      </c>
    </row>
    <row r="3319" spans="1:3" x14ac:dyDescent="0.25">
      <c r="A3319" s="631">
        <v>9050016</v>
      </c>
      <c r="B3319" s="632" t="s">
        <v>4079</v>
      </c>
      <c r="C3319" s="632">
        <v>32</v>
      </c>
    </row>
    <row r="3320" spans="1:3" x14ac:dyDescent="0.25">
      <c r="A3320" s="631">
        <v>9050017</v>
      </c>
      <c r="B3320" s="632" t="s">
        <v>4080</v>
      </c>
      <c r="C3320" s="632">
        <v>32</v>
      </c>
    </row>
    <row r="3321" spans="1:3" x14ac:dyDescent="0.25">
      <c r="A3321" s="631">
        <v>9050018</v>
      </c>
      <c r="B3321" s="632" t="s">
        <v>4081</v>
      </c>
      <c r="C3321" s="632">
        <v>0</v>
      </c>
    </row>
    <row r="3322" spans="1:3" x14ac:dyDescent="0.25">
      <c r="A3322" s="631">
        <v>9050019</v>
      </c>
      <c r="B3322" s="632" t="s">
        <v>4082</v>
      </c>
      <c r="C3322" s="632">
        <v>0</v>
      </c>
    </row>
    <row r="3323" spans="1:3" x14ac:dyDescent="0.25">
      <c r="A3323" s="631">
        <v>9050020</v>
      </c>
      <c r="B3323" s="632" t="s">
        <v>4083</v>
      </c>
      <c r="C3323" s="632">
        <v>0</v>
      </c>
    </row>
    <row r="3324" spans="1:3" x14ac:dyDescent="0.25">
      <c r="A3324" s="631">
        <v>9050027</v>
      </c>
      <c r="B3324" s="632" t="s">
        <v>4084</v>
      </c>
      <c r="C3324" s="632">
        <v>0</v>
      </c>
    </row>
    <row r="3325" spans="1:3" x14ac:dyDescent="0.25">
      <c r="A3325" s="631">
        <v>9050028</v>
      </c>
      <c r="B3325" s="632" t="s">
        <v>4085</v>
      </c>
      <c r="C3325" s="632">
        <v>0</v>
      </c>
    </row>
    <row r="3326" spans="1:3" x14ac:dyDescent="0.25">
      <c r="A3326" s="631">
        <v>9050029</v>
      </c>
      <c r="B3326" s="632" t="s">
        <v>4086</v>
      </c>
      <c r="C3326" s="632">
        <v>0</v>
      </c>
    </row>
    <row r="3327" spans="1:3" x14ac:dyDescent="0.25">
      <c r="A3327" s="631">
        <v>9050030</v>
      </c>
      <c r="B3327" s="632" t="s">
        <v>4087</v>
      </c>
      <c r="C3327" s="632">
        <v>0</v>
      </c>
    </row>
    <row r="3328" spans="1:3" x14ac:dyDescent="0.25">
      <c r="A3328" s="631">
        <v>9050031</v>
      </c>
      <c r="B3328" s="632" t="s">
        <v>4088</v>
      </c>
      <c r="C3328" s="632">
        <v>0</v>
      </c>
    </row>
    <row r="3329" spans="1:3" x14ac:dyDescent="0.25">
      <c r="A3329" s="631">
        <v>9050032</v>
      </c>
      <c r="B3329" s="632" t="s">
        <v>4089</v>
      </c>
      <c r="C3329" s="632">
        <v>0</v>
      </c>
    </row>
    <row r="3330" spans="1:3" x14ac:dyDescent="0.25">
      <c r="A3330" s="631">
        <v>9050039</v>
      </c>
      <c r="B3330" s="632" t="s">
        <v>4090</v>
      </c>
      <c r="C3330" s="632">
        <v>0</v>
      </c>
    </row>
    <row r="3331" spans="1:3" x14ac:dyDescent="0.25">
      <c r="A3331" s="631">
        <v>9050042</v>
      </c>
      <c r="B3331" s="632" t="s">
        <v>4091</v>
      </c>
      <c r="C3331" s="632">
        <v>0</v>
      </c>
    </row>
    <row r="3332" spans="1:3" x14ac:dyDescent="0.25">
      <c r="A3332" s="631">
        <v>9050045</v>
      </c>
      <c r="B3332" s="632" t="s">
        <v>4092</v>
      </c>
      <c r="C3332" s="632">
        <v>0</v>
      </c>
    </row>
    <row r="3333" spans="1:3" x14ac:dyDescent="0.25">
      <c r="A3333" s="631">
        <v>9050048</v>
      </c>
      <c r="B3333" s="632" t="s">
        <v>4093</v>
      </c>
      <c r="C3333" s="632">
        <v>0</v>
      </c>
    </row>
    <row r="3334" spans="1:3" x14ac:dyDescent="0.25">
      <c r="A3334" s="631">
        <v>9200830</v>
      </c>
      <c r="B3334" s="632" t="s">
        <v>4094</v>
      </c>
      <c r="C3334" s="632">
        <v>29</v>
      </c>
    </row>
    <row r="3335" spans="1:3" x14ac:dyDescent="0.25">
      <c r="A3335" s="631">
        <v>9900162</v>
      </c>
      <c r="B3335" s="632" t="s">
        <v>4420</v>
      </c>
      <c r="C3335" s="632">
        <v>0</v>
      </c>
    </row>
    <row r="3336" spans="1:3" x14ac:dyDescent="0.25">
      <c r="A3336" s="631">
        <v>9900163</v>
      </c>
      <c r="B3336" s="632" t="s">
        <v>4421</v>
      </c>
      <c r="C3336" s="632">
        <v>0</v>
      </c>
    </row>
    <row r="3337" spans="1:3" x14ac:dyDescent="0.25">
      <c r="A3337" s="631">
        <v>9900164</v>
      </c>
      <c r="B3337" s="632" t="s">
        <v>4422</v>
      </c>
      <c r="C3337" s="632">
        <v>0</v>
      </c>
    </row>
    <row r="3338" spans="1:3" x14ac:dyDescent="0.25">
      <c r="A3338" s="631">
        <v>9900165</v>
      </c>
      <c r="B3338" s="632" t="s">
        <v>4423</v>
      </c>
      <c r="C3338" s="632">
        <v>0</v>
      </c>
    </row>
    <row r="3339" spans="1:3" x14ac:dyDescent="0.25">
      <c r="A3339" s="631">
        <v>9900166</v>
      </c>
      <c r="B3339" s="632" t="s">
        <v>4424</v>
      </c>
      <c r="C3339" s="632">
        <v>0</v>
      </c>
    </row>
    <row r="3340" spans="1:3" x14ac:dyDescent="0.25">
      <c r="A3340" s="631">
        <v>9900167</v>
      </c>
      <c r="B3340" s="632" t="s">
        <v>4425</v>
      </c>
      <c r="C3340" s="632">
        <v>0</v>
      </c>
    </row>
    <row r="3341" spans="1:3" x14ac:dyDescent="0.25">
      <c r="A3341" s="631">
        <v>9900168</v>
      </c>
      <c r="B3341" s="632" t="s">
        <v>4426</v>
      </c>
      <c r="C3341" s="632">
        <v>0</v>
      </c>
    </row>
    <row r="3342" spans="1:3" x14ac:dyDescent="0.25">
      <c r="A3342" s="631">
        <v>9900169</v>
      </c>
      <c r="B3342" s="632" t="s">
        <v>4427</v>
      </c>
      <c r="C3342" s="632">
        <v>0</v>
      </c>
    </row>
    <row r="3343" spans="1:3" x14ac:dyDescent="0.25">
      <c r="A3343" s="631">
        <v>9900170</v>
      </c>
      <c r="B3343" s="632" t="s">
        <v>4428</v>
      </c>
      <c r="C3343" s="632">
        <v>0</v>
      </c>
    </row>
    <row r="3344" spans="1:3" x14ac:dyDescent="0.25">
      <c r="A3344" s="631">
        <v>9900171</v>
      </c>
      <c r="B3344" s="632" t="s">
        <v>4429</v>
      </c>
      <c r="C3344" s="632">
        <v>0</v>
      </c>
    </row>
    <row r="3345" spans="1:3" x14ac:dyDescent="0.25">
      <c r="A3345" s="631">
        <v>9900172</v>
      </c>
      <c r="B3345" s="632" t="s">
        <v>4430</v>
      </c>
      <c r="C3345" s="632">
        <v>0</v>
      </c>
    </row>
    <row r="3346" spans="1:3" x14ac:dyDescent="0.25">
      <c r="A3346" s="631">
        <v>9900173</v>
      </c>
      <c r="B3346" s="632" t="s">
        <v>4431</v>
      </c>
      <c r="C3346" s="632">
        <v>0</v>
      </c>
    </row>
    <row r="3347" spans="1:3" x14ac:dyDescent="0.25">
      <c r="A3347" s="631">
        <v>9900174</v>
      </c>
      <c r="B3347" s="632" t="s">
        <v>4432</v>
      </c>
      <c r="C3347" s="632">
        <v>0</v>
      </c>
    </row>
    <row r="3348" spans="1:3" x14ac:dyDescent="0.25">
      <c r="A3348" s="631">
        <v>9900175</v>
      </c>
      <c r="B3348" s="632" t="s">
        <v>4433</v>
      </c>
      <c r="C3348" s="632">
        <v>0</v>
      </c>
    </row>
    <row r="3349" spans="1:3" x14ac:dyDescent="0.25">
      <c r="A3349" s="631">
        <v>9900176</v>
      </c>
      <c r="B3349" s="632" t="s">
        <v>4434</v>
      </c>
      <c r="C3349" s="632">
        <v>0</v>
      </c>
    </row>
    <row r="3350" spans="1:3" x14ac:dyDescent="0.25">
      <c r="A3350" s="631">
        <v>9900177</v>
      </c>
      <c r="B3350" s="632" t="s">
        <v>4435</v>
      </c>
      <c r="C3350" s="632">
        <v>0</v>
      </c>
    </row>
    <row r="3351" spans="1:3" x14ac:dyDescent="0.25">
      <c r="A3351" s="631">
        <v>9900178</v>
      </c>
      <c r="B3351" s="632" t="s">
        <v>4436</v>
      </c>
      <c r="C3351" s="632">
        <v>0</v>
      </c>
    </row>
    <row r="3352" spans="1:3" x14ac:dyDescent="0.25">
      <c r="A3352" s="631">
        <v>9900179</v>
      </c>
      <c r="B3352" s="632" t="s">
        <v>4437</v>
      </c>
      <c r="C3352" s="632">
        <v>0</v>
      </c>
    </row>
    <row r="3353" spans="1:3" x14ac:dyDescent="0.25">
      <c r="A3353" s="631">
        <v>9900180</v>
      </c>
      <c r="B3353" s="632" t="s">
        <v>4438</v>
      </c>
      <c r="C3353" s="632">
        <v>0</v>
      </c>
    </row>
    <row r="3354" spans="1:3" x14ac:dyDescent="0.25">
      <c r="A3354" s="631">
        <v>9900212</v>
      </c>
      <c r="B3354" s="632" t="s">
        <v>4095</v>
      </c>
      <c r="C3354" s="632">
        <v>350</v>
      </c>
    </row>
    <row r="3355" spans="1:3" x14ac:dyDescent="0.25">
      <c r="A3355" s="631">
        <v>9900213</v>
      </c>
      <c r="B3355" s="632" t="s">
        <v>4096</v>
      </c>
      <c r="C3355" s="632">
        <v>350</v>
      </c>
    </row>
    <row r="3356" spans="1:3" x14ac:dyDescent="0.25">
      <c r="A3356" s="631">
        <v>9900245</v>
      </c>
      <c r="B3356" s="632" t="s">
        <v>4097</v>
      </c>
      <c r="C3356" s="632">
        <v>128</v>
      </c>
    </row>
    <row r="3357" spans="1:3" x14ac:dyDescent="0.25">
      <c r="A3357" s="631">
        <v>9900246</v>
      </c>
      <c r="B3357" s="632" t="s">
        <v>4098</v>
      </c>
      <c r="C3357" s="632">
        <v>256</v>
      </c>
    </row>
    <row r="3358" spans="1:3" x14ac:dyDescent="0.25">
      <c r="A3358" s="631">
        <v>9900247</v>
      </c>
      <c r="B3358" s="632" t="s">
        <v>4099</v>
      </c>
      <c r="C3358" s="632">
        <v>218</v>
      </c>
    </row>
    <row r="3359" spans="1:3" x14ac:dyDescent="0.25">
      <c r="A3359" s="631">
        <v>9900248</v>
      </c>
      <c r="B3359" s="632" t="s">
        <v>4100</v>
      </c>
      <c r="C3359" s="632">
        <v>556</v>
      </c>
    </row>
    <row r="3360" spans="1:3" x14ac:dyDescent="0.25">
      <c r="A3360" s="631">
        <v>9900250</v>
      </c>
      <c r="B3360" s="632" t="s">
        <v>4101</v>
      </c>
      <c r="C3360" s="632">
        <v>774</v>
      </c>
    </row>
    <row r="3361" spans="1:3" x14ac:dyDescent="0.25">
      <c r="A3361" s="631">
        <v>9900251</v>
      </c>
      <c r="B3361" s="632" t="s">
        <v>4102</v>
      </c>
      <c r="C3361" s="632">
        <v>88</v>
      </c>
    </row>
    <row r="3362" spans="1:3" x14ac:dyDescent="0.25">
      <c r="A3362" s="631">
        <v>9900252</v>
      </c>
      <c r="B3362" s="632" t="s">
        <v>4103</v>
      </c>
      <c r="C3362" s="632">
        <v>270</v>
      </c>
    </row>
    <row r="3363" spans="1:3" x14ac:dyDescent="0.25">
      <c r="A3363" s="631">
        <v>9900261</v>
      </c>
      <c r="B3363" s="632" t="s">
        <v>4104</v>
      </c>
      <c r="C3363" s="632">
        <v>450</v>
      </c>
    </row>
    <row r="3364" spans="1:3" x14ac:dyDescent="0.25">
      <c r="A3364" s="631">
        <v>9900262</v>
      </c>
      <c r="B3364" s="632" t="s">
        <v>4439</v>
      </c>
      <c r="C3364" s="632">
        <v>0</v>
      </c>
    </row>
    <row r="3365" spans="1:3" x14ac:dyDescent="0.25">
      <c r="A3365" s="631">
        <v>9900263</v>
      </c>
      <c r="B3365" s="632" t="s">
        <v>4440</v>
      </c>
      <c r="C3365" s="632">
        <v>0</v>
      </c>
    </row>
    <row r="3366" spans="1:3" x14ac:dyDescent="0.25">
      <c r="A3366" s="631">
        <v>9900264</v>
      </c>
      <c r="B3366" s="632" t="s">
        <v>4441</v>
      </c>
      <c r="C3366" s="632">
        <v>0</v>
      </c>
    </row>
    <row r="3367" spans="1:3" x14ac:dyDescent="0.25">
      <c r="A3367" s="631">
        <v>9900265</v>
      </c>
      <c r="B3367" s="632" t="s">
        <v>4442</v>
      </c>
      <c r="C3367" s="632">
        <v>0</v>
      </c>
    </row>
    <row r="3368" spans="1:3" x14ac:dyDescent="0.25">
      <c r="A3368" s="631">
        <v>9900266</v>
      </c>
      <c r="B3368" s="632" t="s">
        <v>4443</v>
      </c>
      <c r="C3368" s="632">
        <v>0</v>
      </c>
    </row>
    <row r="3369" spans="1:3" x14ac:dyDescent="0.25">
      <c r="A3369" s="631">
        <v>9900267</v>
      </c>
      <c r="B3369" s="632" t="s">
        <v>4444</v>
      </c>
      <c r="C3369" s="632">
        <v>0</v>
      </c>
    </row>
    <row r="3370" spans="1:3" x14ac:dyDescent="0.25">
      <c r="A3370" s="631">
        <v>9900268</v>
      </c>
      <c r="B3370" s="632" t="s">
        <v>4445</v>
      </c>
      <c r="C3370" s="632">
        <v>0</v>
      </c>
    </row>
    <row r="3371" spans="1:3" x14ac:dyDescent="0.25">
      <c r="A3371" s="631">
        <v>9900269</v>
      </c>
      <c r="B3371" s="632" t="s">
        <v>4446</v>
      </c>
      <c r="C3371" s="632">
        <v>0</v>
      </c>
    </row>
    <row r="3372" spans="1:3" x14ac:dyDescent="0.25">
      <c r="A3372" s="631">
        <v>9900270</v>
      </c>
      <c r="B3372" s="632" t="s">
        <v>4447</v>
      </c>
      <c r="C3372" s="632">
        <v>0</v>
      </c>
    </row>
    <row r="3373" spans="1:3" x14ac:dyDescent="0.25">
      <c r="A3373" s="631">
        <v>9900271</v>
      </c>
      <c r="B3373" s="632" t="s">
        <v>4448</v>
      </c>
      <c r="C3373" s="632">
        <v>0</v>
      </c>
    </row>
    <row r="3374" spans="1:3" x14ac:dyDescent="0.25">
      <c r="A3374" s="631">
        <v>9900272</v>
      </c>
      <c r="B3374" s="632" t="s">
        <v>4449</v>
      </c>
      <c r="C3374" s="632">
        <v>0</v>
      </c>
    </row>
    <row r="3375" spans="1:3" x14ac:dyDescent="0.25">
      <c r="A3375" s="631">
        <v>9900273</v>
      </c>
      <c r="B3375" s="632" t="s">
        <v>4450</v>
      </c>
      <c r="C3375" s="632">
        <v>0</v>
      </c>
    </row>
    <row r="3376" spans="1:3" x14ac:dyDescent="0.25">
      <c r="A3376" s="631">
        <v>9900274</v>
      </c>
      <c r="B3376" s="632" t="s">
        <v>4451</v>
      </c>
      <c r="C3376" s="632">
        <v>0</v>
      </c>
    </row>
    <row r="3377" spans="1:3" x14ac:dyDescent="0.25">
      <c r="A3377" s="631">
        <v>9900275</v>
      </c>
      <c r="B3377" s="632" t="s">
        <v>4452</v>
      </c>
      <c r="C3377" s="632">
        <v>0</v>
      </c>
    </row>
    <row r="3378" spans="1:3" x14ac:dyDescent="0.25">
      <c r="A3378" s="631">
        <v>9900276</v>
      </c>
      <c r="B3378" s="632" t="s">
        <v>4453</v>
      </c>
      <c r="C3378" s="632">
        <v>0</v>
      </c>
    </row>
    <row r="3379" spans="1:3" x14ac:dyDescent="0.25">
      <c r="A3379" s="631">
        <v>9900277</v>
      </c>
      <c r="B3379" s="632" t="s">
        <v>4454</v>
      </c>
      <c r="C3379" s="632">
        <v>0</v>
      </c>
    </row>
    <row r="3380" spans="1:3" x14ac:dyDescent="0.25">
      <c r="A3380" s="631">
        <v>9900278</v>
      </c>
      <c r="B3380" s="632" t="s">
        <v>4455</v>
      </c>
      <c r="C3380" s="632">
        <v>0</v>
      </c>
    </row>
    <row r="3381" spans="1:3" x14ac:dyDescent="0.25">
      <c r="A3381" s="631">
        <v>9900279</v>
      </c>
      <c r="B3381" s="632" t="s">
        <v>4456</v>
      </c>
      <c r="C3381" s="632">
        <v>0</v>
      </c>
    </row>
    <row r="3382" spans="1:3" x14ac:dyDescent="0.25">
      <c r="A3382" s="631">
        <v>9900280</v>
      </c>
      <c r="B3382" s="632" t="s">
        <v>4457</v>
      </c>
      <c r="C3382" s="632">
        <v>0</v>
      </c>
    </row>
    <row r="3383" spans="1:3" x14ac:dyDescent="0.25">
      <c r="A3383" s="631">
        <v>9900281</v>
      </c>
      <c r="B3383" s="632" t="s">
        <v>4458</v>
      </c>
      <c r="C3383" s="632">
        <v>0</v>
      </c>
    </row>
    <row r="3384" spans="1:3" x14ac:dyDescent="0.25">
      <c r="A3384" s="631">
        <v>9900282</v>
      </c>
      <c r="B3384" s="632" t="s">
        <v>4459</v>
      </c>
      <c r="C3384" s="632">
        <v>0</v>
      </c>
    </row>
    <row r="3385" spans="1:3" x14ac:dyDescent="0.25">
      <c r="A3385" s="631">
        <v>9900283</v>
      </c>
      <c r="B3385" s="632" t="s">
        <v>4460</v>
      </c>
      <c r="C3385" s="632">
        <v>0</v>
      </c>
    </row>
    <row r="3386" spans="1:3" x14ac:dyDescent="0.25">
      <c r="A3386" s="631">
        <v>9900284</v>
      </c>
      <c r="B3386" s="632" t="s">
        <v>4461</v>
      </c>
      <c r="C3386" s="632">
        <v>0</v>
      </c>
    </row>
    <row r="3387" spans="1:3" x14ac:dyDescent="0.25">
      <c r="A3387" s="631">
        <v>9900301</v>
      </c>
      <c r="B3387" s="632" t="s">
        <v>4105</v>
      </c>
      <c r="C3387" s="632">
        <v>293</v>
      </c>
    </row>
    <row r="3388" spans="1:3" x14ac:dyDescent="0.25">
      <c r="A3388" s="631">
        <v>9900805</v>
      </c>
      <c r="B3388" s="632" t="s">
        <v>4106</v>
      </c>
      <c r="C3388" s="632">
        <v>0</v>
      </c>
    </row>
    <row r="3389" spans="1:3" x14ac:dyDescent="0.25">
      <c r="A3389" s="631">
        <v>9920011</v>
      </c>
      <c r="B3389" s="632" t="s">
        <v>4107</v>
      </c>
      <c r="C3389" s="632">
        <v>2650</v>
      </c>
    </row>
    <row r="3390" spans="1:3" x14ac:dyDescent="0.25">
      <c r="A3390" s="631">
        <v>9920013</v>
      </c>
      <c r="B3390" s="632" t="s">
        <v>4108</v>
      </c>
      <c r="C3390" s="632">
        <v>2650</v>
      </c>
    </row>
    <row r="3391" spans="1:3" x14ac:dyDescent="0.25">
      <c r="A3391" s="631">
        <v>9920014</v>
      </c>
      <c r="B3391" s="632" t="s">
        <v>4109</v>
      </c>
      <c r="C3391" s="632">
        <v>2650</v>
      </c>
    </row>
    <row r="3392" spans="1:3" x14ac:dyDescent="0.25">
      <c r="A3392" s="631">
        <v>9920016</v>
      </c>
      <c r="B3392" s="632" t="s">
        <v>4110</v>
      </c>
      <c r="C3392" s="632">
        <v>2650</v>
      </c>
    </row>
    <row r="3393" spans="1:3" x14ac:dyDescent="0.25">
      <c r="A3393" s="631">
        <v>9930002</v>
      </c>
      <c r="B3393" s="632" t="s">
        <v>4111</v>
      </c>
      <c r="C3393" s="632">
        <v>2650</v>
      </c>
    </row>
    <row r="3394" spans="1:3" x14ac:dyDescent="0.25">
      <c r="A3394" s="631">
        <v>9930011</v>
      </c>
      <c r="B3394" s="632" t="s">
        <v>4112</v>
      </c>
      <c r="C3394" s="632">
        <v>2650</v>
      </c>
    </row>
    <row r="3395" spans="1:3" x14ac:dyDescent="0.25">
      <c r="A3395" s="631">
        <v>9930014</v>
      </c>
      <c r="B3395" s="632" t="s">
        <v>4113</v>
      </c>
      <c r="C3395" s="632">
        <v>2650</v>
      </c>
    </row>
    <row r="3396" spans="1:3" x14ac:dyDescent="0.25">
      <c r="A3396" s="631">
        <v>9930025</v>
      </c>
      <c r="B3396" s="632" t="s">
        <v>4114</v>
      </c>
      <c r="C3396" s="632">
        <v>2261</v>
      </c>
    </row>
    <row r="3397" spans="1:3" x14ac:dyDescent="0.25">
      <c r="A3397" s="631">
        <v>9930026</v>
      </c>
      <c r="B3397" s="632" t="s">
        <v>4115</v>
      </c>
      <c r="C3397" s="632">
        <v>2153</v>
      </c>
    </row>
    <row r="3398" spans="1:3" x14ac:dyDescent="0.25">
      <c r="A3398" s="631">
        <v>9930027</v>
      </c>
      <c r="B3398" s="632" t="s">
        <v>4116</v>
      </c>
      <c r="C3398" s="632">
        <v>2153</v>
      </c>
    </row>
    <row r="3399" spans="1:3" x14ac:dyDescent="0.25">
      <c r="A3399" s="631">
        <v>9930031</v>
      </c>
      <c r="B3399" s="632" t="s">
        <v>4117</v>
      </c>
      <c r="C3399" s="632">
        <v>2153</v>
      </c>
    </row>
    <row r="3400" spans="1:3" x14ac:dyDescent="0.25">
      <c r="A3400" s="631">
        <v>9930032</v>
      </c>
      <c r="B3400" s="632" t="s">
        <v>4118</v>
      </c>
      <c r="C3400" s="632">
        <v>2153</v>
      </c>
    </row>
    <row r="3401" spans="1:3" x14ac:dyDescent="0.25">
      <c r="A3401" s="631">
        <v>9930033</v>
      </c>
      <c r="B3401" s="632" t="s">
        <v>4119</v>
      </c>
      <c r="C3401" s="632">
        <v>2153</v>
      </c>
    </row>
    <row r="3402" spans="1:3" x14ac:dyDescent="0.25">
      <c r="A3402" s="631" t="s">
        <v>4120</v>
      </c>
      <c r="B3402" s="632" t="s">
        <v>4121</v>
      </c>
      <c r="C3402" s="632">
        <v>0</v>
      </c>
    </row>
    <row r="3403" spans="1:3" x14ac:dyDescent="0.25">
      <c r="A3403" s="631" t="s">
        <v>4462</v>
      </c>
      <c r="B3403" s="632" t="s">
        <v>4463</v>
      </c>
      <c r="C3403" s="632">
        <v>0</v>
      </c>
    </row>
    <row r="3404" spans="1:3" x14ac:dyDescent="0.25">
      <c r="A3404" s="631" t="s">
        <v>4122</v>
      </c>
      <c r="B3404" s="632" t="s">
        <v>4123</v>
      </c>
      <c r="C3404" s="632">
        <v>0</v>
      </c>
    </row>
    <row r="3405" spans="1:3" x14ac:dyDescent="0.25">
      <c r="A3405" s="631" t="s">
        <v>4124</v>
      </c>
      <c r="B3405" s="632" t="s">
        <v>4125</v>
      </c>
      <c r="C3405" s="632">
        <v>0</v>
      </c>
    </row>
    <row r="3406" spans="1:3" x14ac:dyDescent="0.25">
      <c r="A3406" s="631" t="s">
        <v>4126</v>
      </c>
      <c r="B3406" s="632" t="s">
        <v>4127</v>
      </c>
      <c r="C3406" s="632">
        <v>0</v>
      </c>
    </row>
    <row r="3407" spans="1:3" x14ac:dyDescent="0.25">
      <c r="A3407" s="631" t="s">
        <v>4128</v>
      </c>
      <c r="B3407" s="632" t="s">
        <v>4129</v>
      </c>
      <c r="C3407" s="632">
        <v>0</v>
      </c>
    </row>
    <row r="3408" spans="1:3" x14ac:dyDescent="0.25">
      <c r="A3408" s="631" t="s">
        <v>4130</v>
      </c>
      <c r="B3408" s="632" t="s">
        <v>4131</v>
      </c>
      <c r="C3408" s="632">
        <v>0</v>
      </c>
    </row>
    <row r="3409" spans="1:3" x14ac:dyDescent="0.25">
      <c r="A3409" s="631" t="s">
        <v>4132</v>
      </c>
      <c r="B3409" s="632" t="s">
        <v>4133</v>
      </c>
      <c r="C3409" s="632">
        <v>0</v>
      </c>
    </row>
    <row r="3410" spans="1:3" x14ac:dyDescent="0.25">
      <c r="A3410" s="631" t="s">
        <v>4134</v>
      </c>
      <c r="B3410" s="632" t="s">
        <v>4135</v>
      </c>
      <c r="C3410" s="632">
        <v>0</v>
      </c>
    </row>
    <row r="3411" spans="1:3" x14ac:dyDescent="0.25">
      <c r="A3411" s="631" t="s">
        <v>4136</v>
      </c>
      <c r="B3411" s="632" t="s">
        <v>4137</v>
      </c>
      <c r="C3411" s="632">
        <v>0</v>
      </c>
    </row>
    <row r="3412" spans="1:3" x14ac:dyDescent="0.25">
      <c r="A3412" s="631" t="s">
        <v>4138</v>
      </c>
      <c r="B3412" s="632" t="s">
        <v>4139</v>
      </c>
      <c r="C3412" s="632">
        <v>0</v>
      </c>
    </row>
    <row r="3413" spans="1:3" x14ac:dyDescent="0.25">
      <c r="A3413" s="631" t="s">
        <v>4140</v>
      </c>
      <c r="B3413" s="632" t="s">
        <v>4141</v>
      </c>
      <c r="C3413" s="632">
        <v>0</v>
      </c>
    </row>
    <row r="3414" spans="1:3" x14ac:dyDescent="0.25">
      <c r="A3414" s="631" t="s">
        <v>4142</v>
      </c>
      <c r="B3414" s="632" t="s">
        <v>4143</v>
      </c>
      <c r="C3414" s="632">
        <v>0</v>
      </c>
    </row>
    <row r="3415" spans="1:3" x14ac:dyDescent="0.25">
      <c r="A3415" s="631" t="s">
        <v>4144</v>
      </c>
      <c r="B3415" s="632" t="s">
        <v>4145</v>
      </c>
      <c r="C3415" s="632">
        <v>0</v>
      </c>
    </row>
    <row r="3416" spans="1:3" x14ac:dyDescent="0.25">
      <c r="A3416" s="631" t="s">
        <v>4146</v>
      </c>
      <c r="B3416" s="632" t="s">
        <v>4147</v>
      </c>
      <c r="C3416" s="632">
        <v>0</v>
      </c>
    </row>
    <row r="3417" spans="1:3" x14ac:dyDescent="0.25">
      <c r="A3417" s="631" t="s">
        <v>4148</v>
      </c>
      <c r="B3417" s="632" t="s">
        <v>4149</v>
      </c>
      <c r="C3417" s="632">
        <v>0</v>
      </c>
    </row>
    <row r="3418" spans="1:3" x14ac:dyDescent="0.25">
      <c r="A3418" s="631" t="s">
        <v>4150</v>
      </c>
      <c r="B3418" s="632" t="s">
        <v>4151</v>
      </c>
      <c r="C3418" s="632">
        <v>0</v>
      </c>
    </row>
    <row r="3419" spans="1:3" x14ac:dyDescent="0.25">
      <c r="A3419" s="631" t="s">
        <v>4152</v>
      </c>
      <c r="B3419" s="632" t="s">
        <v>4153</v>
      </c>
      <c r="C3419" s="632">
        <v>0</v>
      </c>
    </row>
    <row r="3420" spans="1:3" x14ac:dyDescent="0.25">
      <c r="A3420" s="631" t="s">
        <v>4154</v>
      </c>
      <c r="B3420" s="632" t="s">
        <v>4464</v>
      </c>
      <c r="C3420" s="632">
        <v>0</v>
      </c>
    </row>
    <row r="3421" spans="1:3" x14ac:dyDescent="0.25">
      <c r="A3421" s="631" t="s">
        <v>4155</v>
      </c>
      <c r="B3421" s="632" t="s">
        <v>4465</v>
      </c>
      <c r="C3421" s="632">
        <v>0</v>
      </c>
    </row>
    <row r="3422" spans="1:3" x14ac:dyDescent="0.25">
      <c r="A3422" s="631" t="s">
        <v>4156</v>
      </c>
      <c r="B3422" s="632" t="s">
        <v>4157</v>
      </c>
      <c r="C3422" s="632">
        <v>0</v>
      </c>
    </row>
    <row r="3423" spans="1:3" x14ac:dyDescent="0.25">
      <c r="A3423" s="631" t="s">
        <v>4158</v>
      </c>
      <c r="B3423" s="632" t="s">
        <v>4159</v>
      </c>
      <c r="C3423" s="632">
        <v>0</v>
      </c>
    </row>
    <row r="3424" spans="1:3" x14ac:dyDescent="0.25">
      <c r="A3424" s="631" t="s">
        <v>4160</v>
      </c>
      <c r="B3424" s="632" t="s">
        <v>4161</v>
      </c>
      <c r="C3424" s="632">
        <v>0</v>
      </c>
    </row>
    <row r="3425" spans="1:3" x14ac:dyDescent="0.25">
      <c r="A3425" s="631" t="s">
        <v>4162</v>
      </c>
      <c r="B3425" s="632" t="s">
        <v>4163</v>
      </c>
      <c r="C3425" s="632">
        <v>0</v>
      </c>
    </row>
    <row r="3426" spans="1:3" x14ac:dyDescent="0.25">
      <c r="A3426" s="631" t="s">
        <v>4164</v>
      </c>
      <c r="B3426" s="632" t="s">
        <v>4165</v>
      </c>
      <c r="C3426" s="632">
        <v>0</v>
      </c>
    </row>
    <row r="3427" spans="1:3" x14ac:dyDescent="0.25">
      <c r="A3427" s="631" t="s">
        <v>4166</v>
      </c>
      <c r="B3427" s="632" t="s">
        <v>4167</v>
      </c>
      <c r="C3427" s="632">
        <v>0</v>
      </c>
    </row>
    <row r="3428" spans="1:3" x14ac:dyDescent="0.25">
      <c r="A3428" s="631" t="s">
        <v>4168</v>
      </c>
      <c r="B3428" s="632" t="s">
        <v>4169</v>
      </c>
      <c r="C3428" s="632">
        <v>0</v>
      </c>
    </row>
    <row r="3429" spans="1:3" x14ac:dyDescent="0.25">
      <c r="A3429" s="631" t="s">
        <v>4170</v>
      </c>
      <c r="B3429" s="632" t="s">
        <v>4171</v>
      </c>
      <c r="C3429" s="632">
        <v>0</v>
      </c>
    </row>
    <row r="3430" spans="1:3" x14ac:dyDescent="0.25">
      <c r="A3430" s="631"/>
    </row>
    <row r="3431" spans="1:3" x14ac:dyDescent="0.25">
      <c r="A3431" s="631"/>
    </row>
    <row r="3432" spans="1:3" x14ac:dyDescent="0.25">
      <c r="A3432" s="631"/>
    </row>
    <row r="3433" spans="1:3" x14ac:dyDescent="0.25">
      <c r="A3433" s="631"/>
    </row>
    <row r="3434" spans="1:3" x14ac:dyDescent="0.25">
      <c r="A3434" s="631"/>
    </row>
    <row r="3435" spans="1:3" x14ac:dyDescent="0.25">
      <c r="A3435" s="631"/>
    </row>
    <row r="3436" spans="1:3" x14ac:dyDescent="0.25">
      <c r="A3436" s="631"/>
    </row>
    <row r="3437" spans="1:3" x14ac:dyDescent="0.25">
      <c r="A3437" s="631"/>
    </row>
    <row r="3438" spans="1:3" x14ac:dyDescent="0.25">
      <c r="A3438" s="631"/>
    </row>
    <row r="3439" spans="1:3" x14ac:dyDescent="0.25">
      <c r="A3439" s="631"/>
    </row>
    <row r="3440" spans="1:3" x14ac:dyDescent="0.25">
      <c r="A3440" s="631"/>
    </row>
    <row r="3441" spans="1:1" x14ac:dyDescent="0.25">
      <c r="A3441" s="631"/>
    </row>
    <row r="3442" spans="1:1" x14ac:dyDescent="0.25">
      <c r="A3442" s="631"/>
    </row>
    <row r="3443" spans="1:1" x14ac:dyDescent="0.25">
      <c r="A3443" s="631"/>
    </row>
    <row r="3444" spans="1:1" x14ac:dyDescent="0.25">
      <c r="A3444" s="631"/>
    </row>
    <row r="3445" spans="1:1" x14ac:dyDescent="0.25">
      <c r="A3445" s="631"/>
    </row>
    <row r="3446" spans="1:1" x14ac:dyDescent="0.25">
      <c r="A3446" s="631"/>
    </row>
    <row r="3447" spans="1:1" x14ac:dyDescent="0.25">
      <c r="A3447" s="631"/>
    </row>
    <row r="3448" spans="1:1" x14ac:dyDescent="0.25">
      <c r="A3448" s="631"/>
    </row>
    <row r="3449" spans="1:1" x14ac:dyDescent="0.25">
      <c r="A3449" s="631"/>
    </row>
    <row r="3450" spans="1:1" x14ac:dyDescent="0.25">
      <c r="A3450" s="631"/>
    </row>
    <row r="3451" spans="1:1" x14ac:dyDescent="0.25">
      <c r="A3451" s="631"/>
    </row>
    <row r="3452" spans="1:1" x14ac:dyDescent="0.25">
      <c r="A3452" s="631"/>
    </row>
    <row r="3453" spans="1:1" x14ac:dyDescent="0.25">
      <c r="A3453" s="631"/>
    </row>
    <row r="3454" spans="1:1" x14ac:dyDescent="0.25">
      <c r="A3454" s="631"/>
    </row>
    <row r="3455" spans="1:1" x14ac:dyDescent="0.25">
      <c r="A3455" s="631"/>
    </row>
    <row r="3456" spans="1:1" x14ac:dyDescent="0.25">
      <c r="A3456" s="631"/>
    </row>
    <row r="3457" spans="1:1" x14ac:dyDescent="0.25">
      <c r="A3457" s="631"/>
    </row>
    <row r="3458" spans="1:1" x14ac:dyDescent="0.25">
      <c r="A3458" s="631"/>
    </row>
    <row r="3459" spans="1:1" x14ac:dyDescent="0.25">
      <c r="A3459" s="631"/>
    </row>
    <row r="3460" spans="1:1" x14ac:dyDescent="0.25">
      <c r="A3460" s="631"/>
    </row>
    <row r="3461" spans="1:1" x14ac:dyDescent="0.25">
      <c r="A3461" s="631"/>
    </row>
    <row r="3462" spans="1:1" x14ac:dyDescent="0.25">
      <c r="A3462" s="631"/>
    </row>
    <row r="3463" spans="1:1" x14ac:dyDescent="0.25">
      <c r="A3463" s="631"/>
    </row>
    <row r="3464" spans="1:1" x14ac:dyDescent="0.25">
      <c r="A3464" s="631"/>
    </row>
    <row r="3465" spans="1:1" x14ac:dyDescent="0.25">
      <c r="A3465" s="631"/>
    </row>
    <row r="3466" spans="1:1" x14ac:dyDescent="0.25">
      <c r="A3466" s="631"/>
    </row>
    <row r="3467" spans="1:1" x14ac:dyDescent="0.25">
      <c r="A3467" s="631"/>
    </row>
    <row r="3468" spans="1:1" x14ac:dyDescent="0.25">
      <c r="A3468" s="631"/>
    </row>
    <row r="3469" spans="1:1" x14ac:dyDescent="0.25">
      <c r="A3469" s="631"/>
    </row>
    <row r="3470" spans="1:1" x14ac:dyDescent="0.25">
      <c r="A3470" s="631"/>
    </row>
    <row r="3471" spans="1:1" x14ac:dyDescent="0.25">
      <c r="A3471" s="631"/>
    </row>
    <row r="3472" spans="1:1" x14ac:dyDescent="0.25">
      <c r="A3472" s="631"/>
    </row>
    <row r="3473" spans="1:1" x14ac:dyDescent="0.25">
      <c r="A3473" s="631"/>
    </row>
    <row r="3474" spans="1:1" x14ac:dyDescent="0.25">
      <c r="A3474" s="631"/>
    </row>
    <row r="3475" spans="1:1" x14ac:dyDescent="0.25">
      <c r="A3475" s="631"/>
    </row>
    <row r="3476" spans="1:1" x14ac:dyDescent="0.25">
      <c r="A3476" s="631"/>
    </row>
    <row r="3477" spans="1:1" x14ac:dyDescent="0.25">
      <c r="A3477" s="631"/>
    </row>
    <row r="3478" spans="1:1" x14ac:dyDescent="0.25">
      <c r="A3478" s="631"/>
    </row>
    <row r="3479" spans="1:1" x14ac:dyDescent="0.25">
      <c r="A3479" s="631"/>
    </row>
    <row r="3480" spans="1:1" x14ac:dyDescent="0.25">
      <c r="A3480" s="631"/>
    </row>
    <row r="3481" spans="1:1" x14ac:dyDescent="0.25">
      <c r="A3481" s="631"/>
    </row>
    <row r="3482" spans="1:1" x14ac:dyDescent="0.25">
      <c r="A3482" s="631"/>
    </row>
    <row r="3483" spans="1:1" x14ac:dyDescent="0.25">
      <c r="A3483" s="631"/>
    </row>
    <row r="3484" spans="1:1" x14ac:dyDescent="0.25">
      <c r="A3484" s="631"/>
    </row>
    <row r="3485" spans="1:1" x14ac:dyDescent="0.25">
      <c r="A3485" s="631"/>
    </row>
    <row r="3486" spans="1:1" x14ac:dyDescent="0.25">
      <c r="A3486" s="631"/>
    </row>
    <row r="3487" spans="1:1" x14ac:dyDescent="0.25">
      <c r="A3487" s="631"/>
    </row>
    <row r="3488" spans="1:1" x14ac:dyDescent="0.25">
      <c r="A3488" s="631"/>
    </row>
    <row r="3489" spans="1:1" x14ac:dyDescent="0.25">
      <c r="A3489" s="631"/>
    </row>
    <row r="3490" spans="1:1" x14ac:dyDescent="0.25">
      <c r="A3490" s="631"/>
    </row>
    <row r="3491" spans="1:1" x14ac:dyDescent="0.25">
      <c r="A3491" s="631"/>
    </row>
    <row r="3492" spans="1:1" x14ac:dyDescent="0.25">
      <c r="A3492" s="631"/>
    </row>
    <row r="3493" spans="1:1" x14ac:dyDescent="0.25">
      <c r="A3493" s="631"/>
    </row>
    <row r="3494" spans="1:1" x14ac:dyDescent="0.25">
      <c r="A3494" s="631"/>
    </row>
    <row r="3495" spans="1:1" x14ac:dyDescent="0.25">
      <c r="A3495" s="631"/>
    </row>
    <row r="3496" spans="1:1" x14ac:dyDescent="0.25">
      <c r="A3496" s="631"/>
    </row>
    <row r="3497" spans="1:1" x14ac:dyDescent="0.25">
      <c r="A3497" s="631"/>
    </row>
    <row r="3498" spans="1:1" x14ac:dyDescent="0.25">
      <c r="A3498" s="631"/>
    </row>
    <row r="3499" spans="1:1" x14ac:dyDescent="0.25">
      <c r="A3499" s="631"/>
    </row>
    <row r="3500" spans="1:1" x14ac:dyDescent="0.25">
      <c r="A3500" s="631"/>
    </row>
    <row r="3501" spans="1:1" x14ac:dyDescent="0.25">
      <c r="A3501" s="631"/>
    </row>
    <row r="3502" spans="1:1" x14ac:dyDescent="0.25">
      <c r="A3502" s="631"/>
    </row>
    <row r="3503" spans="1:1" x14ac:dyDescent="0.25">
      <c r="A3503" s="631"/>
    </row>
    <row r="3504" spans="1:1" x14ac:dyDescent="0.25">
      <c r="A3504" s="631"/>
    </row>
    <row r="3505" spans="1:1" x14ac:dyDescent="0.25">
      <c r="A3505" s="631"/>
    </row>
    <row r="3506" spans="1:1" x14ac:dyDescent="0.25">
      <c r="A3506" s="631"/>
    </row>
    <row r="3507" spans="1:1" x14ac:dyDescent="0.25">
      <c r="A3507" s="631"/>
    </row>
    <row r="3508" spans="1:1" x14ac:dyDescent="0.25">
      <c r="A3508" s="631"/>
    </row>
    <row r="3509" spans="1:1" x14ac:dyDescent="0.25">
      <c r="A3509" s="631"/>
    </row>
    <row r="3510" spans="1:1" x14ac:dyDescent="0.25">
      <c r="A3510" s="631"/>
    </row>
    <row r="3511" spans="1:1" x14ac:dyDescent="0.25">
      <c r="A3511" s="631"/>
    </row>
    <row r="3512" spans="1:1" x14ac:dyDescent="0.25">
      <c r="A3512" s="631"/>
    </row>
    <row r="3513" spans="1:1" x14ac:dyDescent="0.25">
      <c r="A3513" s="631"/>
    </row>
    <row r="3514" spans="1:1" x14ac:dyDescent="0.25">
      <c r="A3514" s="631"/>
    </row>
    <row r="3515" spans="1:1" x14ac:dyDescent="0.25">
      <c r="A3515" s="631"/>
    </row>
    <row r="3516" spans="1:1" x14ac:dyDescent="0.25">
      <c r="A3516" s="631"/>
    </row>
    <row r="3517" spans="1:1" x14ac:dyDescent="0.25">
      <c r="A3517" s="631"/>
    </row>
    <row r="3518" spans="1:1" x14ac:dyDescent="0.25">
      <c r="A3518" s="631"/>
    </row>
    <row r="3519" spans="1:1" x14ac:dyDescent="0.25">
      <c r="A3519" s="631"/>
    </row>
    <row r="3520" spans="1:1" x14ac:dyDescent="0.25">
      <c r="A3520" s="631"/>
    </row>
    <row r="3521" spans="1:1" x14ac:dyDescent="0.25">
      <c r="A3521" s="631"/>
    </row>
    <row r="3522" spans="1:1" x14ac:dyDescent="0.25">
      <c r="A3522" s="631"/>
    </row>
    <row r="3523" spans="1:1" x14ac:dyDescent="0.25">
      <c r="A3523" s="631"/>
    </row>
    <row r="3524" spans="1:1" x14ac:dyDescent="0.25">
      <c r="A3524" s="631"/>
    </row>
    <row r="3525" spans="1:1" x14ac:dyDescent="0.25">
      <c r="A3525" s="631"/>
    </row>
    <row r="3526" spans="1:1" x14ac:dyDescent="0.25">
      <c r="A3526" s="631"/>
    </row>
    <row r="3527" spans="1:1" x14ac:dyDescent="0.25">
      <c r="A3527" s="631"/>
    </row>
    <row r="3528" spans="1:1" x14ac:dyDescent="0.25">
      <c r="A3528" s="631"/>
    </row>
    <row r="3529" spans="1:1" x14ac:dyDescent="0.25">
      <c r="A3529" s="631"/>
    </row>
    <row r="3530" spans="1:1" x14ac:dyDescent="0.25">
      <c r="A3530" s="631"/>
    </row>
    <row r="3531" spans="1:1" x14ac:dyDescent="0.25">
      <c r="A3531" s="631"/>
    </row>
    <row r="3532" spans="1:1" x14ac:dyDescent="0.25">
      <c r="A3532" s="631"/>
    </row>
    <row r="3533" spans="1:1" x14ac:dyDescent="0.25">
      <c r="A3533" s="631"/>
    </row>
    <row r="3534" spans="1:1" x14ac:dyDescent="0.25">
      <c r="A3534" s="631"/>
    </row>
    <row r="3535" spans="1:1" x14ac:dyDescent="0.25">
      <c r="A3535" s="631"/>
    </row>
    <row r="3536" spans="1:1" x14ac:dyDescent="0.25">
      <c r="A3536" s="631"/>
    </row>
    <row r="3537" spans="1:1" x14ac:dyDescent="0.25">
      <c r="A3537" s="631"/>
    </row>
    <row r="3538" spans="1:1" x14ac:dyDescent="0.25">
      <c r="A3538" s="631"/>
    </row>
    <row r="3539" spans="1:1" x14ac:dyDescent="0.25">
      <c r="A3539" s="631"/>
    </row>
    <row r="3540" spans="1:1" x14ac:dyDescent="0.25">
      <c r="A3540" s="631"/>
    </row>
    <row r="3541" spans="1:1" x14ac:dyDescent="0.25">
      <c r="A3541" s="631"/>
    </row>
    <row r="3542" spans="1:1" x14ac:dyDescent="0.25">
      <c r="A3542" s="631"/>
    </row>
    <row r="3543" spans="1:1" x14ac:dyDescent="0.25">
      <c r="A3543" s="631"/>
    </row>
    <row r="3544" spans="1:1" x14ac:dyDescent="0.25">
      <c r="A3544" s="631"/>
    </row>
    <row r="3545" spans="1:1" x14ac:dyDescent="0.25">
      <c r="A3545" s="631"/>
    </row>
    <row r="3546" spans="1:1" x14ac:dyDescent="0.25">
      <c r="A3546" s="631"/>
    </row>
    <row r="3547" spans="1:1" x14ac:dyDescent="0.25">
      <c r="A3547" s="631"/>
    </row>
    <row r="3548" spans="1:1" x14ac:dyDescent="0.25">
      <c r="A3548" s="631"/>
    </row>
    <row r="3549" spans="1:1" x14ac:dyDescent="0.25">
      <c r="A3549" s="631"/>
    </row>
    <row r="3550" spans="1:1" x14ac:dyDescent="0.25">
      <c r="A3550" s="631"/>
    </row>
    <row r="3551" spans="1:1" x14ac:dyDescent="0.25">
      <c r="A3551" s="631"/>
    </row>
    <row r="3552" spans="1:1" x14ac:dyDescent="0.25">
      <c r="A3552" s="631"/>
    </row>
    <row r="3553" spans="1:1" x14ac:dyDescent="0.25">
      <c r="A3553" s="631"/>
    </row>
    <row r="3554" spans="1:1" x14ac:dyDescent="0.25">
      <c r="A3554" s="631"/>
    </row>
    <row r="3555" spans="1:1" x14ac:dyDescent="0.25">
      <c r="A3555" s="631"/>
    </row>
    <row r="3556" spans="1:1" x14ac:dyDescent="0.25">
      <c r="A3556" s="631"/>
    </row>
    <row r="3557" spans="1:1" x14ac:dyDescent="0.25">
      <c r="A3557" s="631"/>
    </row>
    <row r="3558" spans="1:1" x14ac:dyDescent="0.25">
      <c r="A3558" s="631"/>
    </row>
    <row r="3559" spans="1:1" x14ac:dyDescent="0.25">
      <c r="A3559" s="631"/>
    </row>
    <row r="3560" spans="1:1" x14ac:dyDescent="0.25">
      <c r="A3560" s="631"/>
    </row>
    <row r="3561" spans="1:1" x14ac:dyDescent="0.25">
      <c r="A3561" s="631"/>
    </row>
    <row r="3562" spans="1:1" x14ac:dyDescent="0.25">
      <c r="A3562" s="631"/>
    </row>
    <row r="3563" spans="1:1" x14ac:dyDescent="0.25">
      <c r="A3563" s="631"/>
    </row>
    <row r="3564" spans="1:1" x14ac:dyDescent="0.25">
      <c r="A3564" s="631"/>
    </row>
    <row r="3565" spans="1:1" x14ac:dyDescent="0.25">
      <c r="A3565" s="631"/>
    </row>
    <row r="3566" spans="1:1" x14ac:dyDescent="0.25">
      <c r="A3566" s="631"/>
    </row>
    <row r="3567" spans="1:1" x14ac:dyDescent="0.25">
      <c r="A3567" s="631"/>
    </row>
    <row r="3568" spans="1:1" x14ac:dyDescent="0.25">
      <c r="A3568" s="631"/>
    </row>
    <row r="3569" spans="1:1" x14ac:dyDescent="0.25">
      <c r="A3569" s="631"/>
    </row>
    <row r="3570" spans="1:1" x14ac:dyDescent="0.25">
      <c r="A3570" s="631"/>
    </row>
    <row r="3571" spans="1:1" x14ac:dyDescent="0.25">
      <c r="A3571" s="631"/>
    </row>
    <row r="3572" spans="1:1" x14ac:dyDescent="0.25">
      <c r="A3572" s="631"/>
    </row>
    <row r="3573" spans="1:1" x14ac:dyDescent="0.25">
      <c r="A3573" s="631"/>
    </row>
    <row r="3574" spans="1:1" x14ac:dyDescent="0.25">
      <c r="A3574" s="631"/>
    </row>
    <row r="3575" spans="1:1" x14ac:dyDescent="0.25">
      <c r="A3575" s="631"/>
    </row>
    <row r="3576" spans="1:1" x14ac:dyDescent="0.25">
      <c r="A3576" s="631"/>
    </row>
    <row r="3577" spans="1:1" x14ac:dyDescent="0.25">
      <c r="A3577" s="631"/>
    </row>
    <row r="3578" spans="1:1" x14ac:dyDescent="0.25">
      <c r="A3578" s="631"/>
    </row>
    <row r="3579" spans="1:1" x14ac:dyDescent="0.25">
      <c r="A3579" s="631"/>
    </row>
    <row r="3580" spans="1:1" x14ac:dyDescent="0.25">
      <c r="A3580" s="631"/>
    </row>
    <row r="3581" spans="1:1" x14ac:dyDescent="0.25">
      <c r="A3581" s="631"/>
    </row>
    <row r="3582" spans="1:1" x14ac:dyDescent="0.25">
      <c r="A3582" s="631"/>
    </row>
    <row r="3583" spans="1:1" x14ac:dyDescent="0.25">
      <c r="A3583" s="631"/>
    </row>
    <row r="3584" spans="1:1" x14ac:dyDescent="0.25">
      <c r="A3584" s="631"/>
    </row>
    <row r="3585" spans="1:1" x14ac:dyDescent="0.25">
      <c r="A3585" s="631"/>
    </row>
    <row r="3586" spans="1:1" x14ac:dyDescent="0.25">
      <c r="A3586" s="631"/>
    </row>
    <row r="3587" spans="1:1" x14ac:dyDescent="0.25">
      <c r="A3587" s="631"/>
    </row>
    <row r="3588" spans="1:1" x14ac:dyDescent="0.25">
      <c r="A3588" s="631"/>
    </row>
    <row r="3589" spans="1:1" x14ac:dyDescent="0.25">
      <c r="A3589" s="631"/>
    </row>
    <row r="3590" spans="1:1" x14ac:dyDescent="0.25">
      <c r="A3590" s="631"/>
    </row>
    <row r="3591" spans="1:1" x14ac:dyDescent="0.25">
      <c r="A3591" s="631"/>
    </row>
    <row r="3592" spans="1:1" x14ac:dyDescent="0.25">
      <c r="A3592" s="631"/>
    </row>
    <row r="3593" spans="1:1" x14ac:dyDescent="0.25">
      <c r="A3593" s="631"/>
    </row>
    <row r="3594" spans="1:1" x14ac:dyDescent="0.25">
      <c r="A3594" s="631"/>
    </row>
    <row r="3595" spans="1:1" x14ac:dyDescent="0.25">
      <c r="A3595" s="631"/>
    </row>
    <row r="3596" spans="1:1" x14ac:dyDescent="0.25">
      <c r="A3596" s="631"/>
    </row>
    <row r="3597" spans="1:1" x14ac:dyDescent="0.25">
      <c r="A3597" s="631"/>
    </row>
    <row r="3598" spans="1:1" x14ac:dyDescent="0.25">
      <c r="A3598" s="631"/>
    </row>
    <row r="3599" spans="1:1" x14ac:dyDescent="0.25">
      <c r="A3599" s="631"/>
    </row>
    <row r="3600" spans="1:1" x14ac:dyDescent="0.25">
      <c r="A3600" s="631"/>
    </row>
    <row r="3601" spans="1:1" x14ac:dyDescent="0.25">
      <c r="A3601" s="631"/>
    </row>
    <row r="3602" spans="1:1" x14ac:dyDescent="0.25">
      <c r="A3602" s="631"/>
    </row>
    <row r="3603" spans="1:1" x14ac:dyDescent="0.25">
      <c r="A3603" s="631"/>
    </row>
    <row r="3604" spans="1:1" x14ac:dyDescent="0.25">
      <c r="A3604" s="631"/>
    </row>
    <row r="3605" spans="1:1" x14ac:dyDescent="0.25">
      <c r="A3605" s="631"/>
    </row>
    <row r="3606" spans="1:1" x14ac:dyDescent="0.25">
      <c r="A3606" s="631"/>
    </row>
    <row r="3607" spans="1:1" x14ac:dyDescent="0.25">
      <c r="A3607" s="631"/>
    </row>
    <row r="3608" spans="1:1" x14ac:dyDescent="0.25">
      <c r="A3608" s="631"/>
    </row>
    <row r="3609" spans="1:1" x14ac:dyDescent="0.25">
      <c r="A3609" s="631"/>
    </row>
    <row r="3610" spans="1:1" x14ac:dyDescent="0.25">
      <c r="A3610" s="631"/>
    </row>
    <row r="3611" spans="1:1" x14ac:dyDescent="0.25">
      <c r="A3611" s="631"/>
    </row>
    <row r="3612" spans="1:1" x14ac:dyDescent="0.25">
      <c r="A3612" s="631"/>
    </row>
    <row r="3613" spans="1:1" x14ac:dyDescent="0.25">
      <c r="A3613" s="631"/>
    </row>
    <row r="3614" spans="1:1" x14ac:dyDescent="0.25">
      <c r="A3614" s="631"/>
    </row>
    <row r="3615" spans="1:1" x14ac:dyDescent="0.25">
      <c r="A3615" s="631"/>
    </row>
    <row r="3616" spans="1:1" x14ac:dyDescent="0.25">
      <c r="A3616" s="631"/>
    </row>
    <row r="3617" spans="1:1" x14ac:dyDescent="0.25">
      <c r="A3617" s="631"/>
    </row>
    <row r="3618" spans="1:1" x14ac:dyDescent="0.25">
      <c r="A3618" s="631"/>
    </row>
    <row r="3619" spans="1:1" x14ac:dyDescent="0.25">
      <c r="A3619" s="631"/>
    </row>
    <row r="3620" spans="1:1" x14ac:dyDescent="0.25">
      <c r="A3620" s="631"/>
    </row>
    <row r="3621" spans="1:1" x14ac:dyDescent="0.25">
      <c r="A3621" s="631"/>
    </row>
    <row r="3622" spans="1:1" x14ac:dyDescent="0.25">
      <c r="A3622" s="631"/>
    </row>
    <row r="3623" spans="1:1" x14ac:dyDescent="0.25">
      <c r="A3623" s="631"/>
    </row>
    <row r="3624" spans="1:1" x14ac:dyDescent="0.25">
      <c r="A3624" s="631"/>
    </row>
    <row r="3625" spans="1:1" x14ac:dyDescent="0.25">
      <c r="A3625" s="631"/>
    </row>
    <row r="3626" spans="1:1" x14ac:dyDescent="0.25">
      <c r="A3626" s="631"/>
    </row>
    <row r="3627" spans="1:1" x14ac:dyDescent="0.25">
      <c r="A3627" s="631"/>
    </row>
    <row r="3628" spans="1:1" x14ac:dyDescent="0.25">
      <c r="A3628" s="631"/>
    </row>
    <row r="3629" spans="1:1" x14ac:dyDescent="0.25">
      <c r="A3629" s="631"/>
    </row>
    <row r="3630" spans="1:1" x14ac:dyDescent="0.25">
      <c r="A3630" s="631"/>
    </row>
    <row r="3631" spans="1:1" x14ac:dyDescent="0.25">
      <c r="A3631" s="631"/>
    </row>
    <row r="3632" spans="1:1" x14ac:dyDescent="0.25">
      <c r="A3632" s="631"/>
    </row>
    <row r="3633" spans="1:1" x14ac:dyDescent="0.25">
      <c r="A3633" s="631"/>
    </row>
    <row r="3634" spans="1:1" x14ac:dyDescent="0.25">
      <c r="A3634" s="631"/>
    </row>
    <row r="3635" spans="1:1" x14ac:dyDescent="0.25">
      <c r="A3635" s="631"/>
    </row>
    <row r="3636" spans="1:1" x14ac:dyDescent="0.25">
      <c r="A3636" s="631"/>
    </row>
    <row r="3637" spans="1:1" x14ac:dyDescent="0.25">
      <c r="A3637" s="631"/>
    </row>
    <row r="3638" spans="1:1" x14ac:dyDescent="0.25">
      <c r="A3638" s="631"/>
    </row>
    <row r="3639" spans="1:1" x14ac:dyDescent="0.25">
      <c r="A3639" s="631"/>
    </row>
    <row r="3640" spans="1:1" x14ac:dyDescent="0.25">
      <c r="A3640" s="631"/>
    </row>
    <row r="3641" spans="1:1" x14ac:dyDescent="0.25">
      <c r="A3641" s="631"/>
    </row>
    <row r="3642" spans="1:1" x14ac:dyDescent="0.25">
      <c r="A3642" s="631"/>
    </row>
    <row r="3643" spans="1:1" x14ac:dyDescent="0.25">
      <c r="A3643" s="631"/>
    </row>
    <row r="3644" spans="1:1" x14ac:dyDescent="0.25">
      <c r="A3644" s="631"/>
    </row>
    <row r="3645" spans="1:1" x14ac:dyDescent="0.25">
      <c r="A3645" s="631"/>
    </row>
    <row r="3646" spans="1:1" x14ac:dyDescent="0.25">
      <c r="A3646" s="631"/>
    </row>
    <row r="3647" spans="1:1" x14ac:dyDescent="0.25">
      <c r="A3647" s="631"/>
    </row>
    <row r="3648" spans="1:1" x14ac:dyDescent="0.25">
      <c r="A3648" s="631"/>
    </row>
    <row r="3649" spans="1:1" x14ac:dyDescent="0.25">
      <c r="A3649" s="631"/>
    </row>
    <row r="3650" spans="1:1" x14ac:dyDescent="0.25">
      <c r="A3650" s="631"/>
    </row>
    <row r="3651" spans="1:1" x14ac:dyDescent="0.25">
      <c r="A3651" s="631"/>
    </row>
    <row r="3652" spans="1:1" x14ac:dyDescent="0.25">
      <c r="A3652" s="631"/>
    </row>
    <row r="3653" spans="1:1" x14ac:dyDescent="0.25">
      <c r="A3653" s="631"/>
    </row>
    <row r="3654" spans="1:1" x14ac:dyDescent="0.25">
      <c r="A3654" s="631"/>
    </row>
    <row r="3655" spans="1:1" x14ac:dyDescent="0.25">
      <c r="A3655" s="631"/>
    </row>
    <row r="3656" spans="1:1" x14ac:dyDescent="0.25">
      <c r="A3656" s="631"/>
    </row>
    <row r="3657" spans="1:1" x14ac:dyDescent="0.25">
      <c r="A3657" s="631"/>
    </row>
    <row r="3658" spans="1:1" x14ac:dyDescent="0.25">
      <c r="A3658" s="631"/>
    </row>
    <row r="3659" spans="1:1" x14ac:dyDescent="0.25">
      <c r="A3659" s="631"/>
    </row>
    <row r="3660" spans="1:1" x14ac:dyDescent="0.25">
      <c r="A3660" s="631"/>
    </row>
    <row r="3661" spans="1:1" x14ac:dyDescent="0.25">
      <c r="A3661" s="631"/>
    </row>
    <row r="3662" spans="1:1" x14ac:dyDescent="0.25">
      <c r="A3662" s="631"/>
    </row>
    <row r="3663" spans="1:1" x14ac:dyDescent="0.25">
      <c r="A3663" s="631"/>
    </row>
    <row r="3664" spans="1:1" x14ac:dyDescent="0.25">
      <c r="A3664" s="631"/>
    </row>
    <row r="3665" spans="1:1" x14ac:dyDescent="0.25">
      <c r="A3665" s="631"/>
    </row>
    <row r="3666" spans="1:1" x14ac:dyDescent="0.25">
      <c r="A3666" s="631"/>
    </row>
    <row r="3667" spans="1:1" x14ac:dyDescent="0.25">
      <c r="A3667" s="631"/>
    </row>
    <row r="3668" spans="1:1" x14ac:dyDescent="0.25">
      <c r="A3668" s="631"/>
    </row>
    <row r="3669" spans="1:1" x14ac:dyDescent="0.25">
      <c r="A3669" s="631"/>
    </row>
    <row r="3670" spans="1:1" x14ac:dyDescent="0.25">
      <c r="A3670" s="631"/>
    </row>
    <row r="3671" spans="1:1" x14ac:dyDescent="0.25">
      <c r="A3671" s="631"/>
    </row>
    <row r="3672" spans="1:1" x14ac:dyDescent="0.25">
      <c r="A3672" s="631"/>
    </row>
    <row r="3673" spans="1:1" x14ac:dyDescent="0.25">
      <c r="A3673" s="631"/>
    </row>
    <row r="3674" spans="1:1" x14ac:dyDescent="0.25">
      <c r="A3674" s="631"/>
    </row>
    <row r="3675" spans="1:1" x14ac:dyDescent="0.25">
      <c r="A3675" s="631"/>
    </row>
    <row r="3676" spans="1:1" x14ac:dyDescent="0.25">
      <c r="A3676" s="631"/>
    </row>
    <row r="3677" spans="1:1" x14ac:dyDescent="0.25">
      <c r="A3677" s="631"/>
    </row>
    <row r="3678" spans="1:1" x14ac:dyDescent="0.25">
      <c r="A3678" s="631"/>
    </row>
    <row r="3679" spans="1:1" x14ac:dyDescent="0.25">
      <c r="A3679" s="631"/>
    </row>
    <row r="3680" spans="1:1" x14ac:dyDescent="0.25">
      <c r="A3680" s="631"/>
    </row>
    <row r="3681" spans="1:1" x14ac:dyDescent="0.25">
      <c r="A3681" s="631"/>
    </row>
    <row r="3682" spans="1:1" x14ac:dyDescent="0.25">
      <c r="A3682" s="631"/>
    </row>
    <row r="3683" spans="1:1" x14ac:dyDescent="0.25">
      <c r="A3683" s="631"/>
    </row>
    <row r="3684" spans="1:1" x14ac:dyDescent="0.25">
      <c r="A3684" s="631"/>
    </row>
    <row r="3685" spans="1:1" x14ac:dyDescent="0.25">
      <c r="A3685" s="631"/>
    </row>
    <row r="3686" spans="1:1" x14ac:dyDescent="0.25">
      <c r="A3686" s="631"/>
    </row>
    <row r="3687" spans="1:1" x14ac:dyDescent="0.25">
      <c r="A3687" s="631"/>
    </row>
    <row r="3688" spans="1:1" x14ac:dyDescent="0.25">
      <c r="A3688" s="631"/>
    </row>
    <row r="3689" spans="1:1" x14ac:dyDescent="0.25">
      <c r="A3689" s="631"/>
    </row>
    <row r="3690" spans="1:1" x14ac:dyDescent="0.25">
      <c r="A3690" s="631"/>
    </row>
    <row r="3691" spans="1:1" x14ac:dyDescent="0.25">
      <c r="A3691" s="631"/>
    </row>
    <row r="3692" spans="1:1" x14ac:dyDescent="0.25">
      <c r="A3692" s="631"/>
    </row>
    <row r="3693" spans="1:1" x14ac:dyDescent="0.25">
      <c r="A3693" s="631"/>
    </row>
    <row r="3694" spans="1:1" x14ac:dyDescent="0.25">
      <c r="A3694" s="631"/>
    </row>
    <row r="3695" spans="1:1" x14ac:dyDescent="0.25">
      <c r="A3695" s="631"/>
    </row>
    <row r="3696" spans="1:1" x14ac:dyDescent="0.25">
      <c r="A3696" s="631"/>
    </row>
    <row r="3697" spans="1:1" x14ac:dyDescent="0.25">
      <c r="A3697" s="631"/>
    </row>
    <row r="3698" spans="1:1" x14ac:dyDescent="0.25">
      <c r="A3698" s="631"/>
    </row>
    <row r="3699" spans="1:1" x14ac:dyDescent="0.25">
      <c r="A3699" s="631"/>
    </row>
    <row r="3700" spans="1:1" x14ac:dyDescent="0.25">
      <c r="A3700" s="631"/>
    </row>
    <row r="3701" spans="1:1" x14ac:dyDescent="0.25">
      <c r="A3701" s="631"/>
    </row>
    <row r="3702" spans="1:1" x14ac:dyDescent="0.25">
      <c r="A3702" s="631"/>
    </row>
    <row r="3703" spans="1:1" x14ac:dyDescent="0.25">
      <c r="A3703" s="631"/>
    </row>
    <row r="3704" spans="1:1" x14ac:dyDescent="0.25">
      <c r="A3704" s="631"/>
    </row>
    <row r="3705" spans="1:1" x14ac:dyDescent="0.25">
      <c r="A3705" s="631"/>
    </row>
    <row r="3706" spans="1:1" x14ac:dyDescent="0.25">
      <c r="A3706" s="631"/>
    </row>
    <row r="3707" spans="1:1" x14ac:dyDescent="0.25">
      <c r="A3707" s="631"/>
    </row>
    <row r="3708" spans="1:1" x14ac:dyDescent="0.25">
      <c r="A3708" s="631"/>
    </row>
    <row r="3709" spans="1:1" x14ac:dyDescent="0.25">
      <c r="A3709" s="631"/>
    </row>
    <row r="3710" spans="1:1" x14ac:dyDescent="0.25">
      <c r="A3710" s="631"/>
    </row>
    <row r="3711" spans="1:1" x14ac:dyDescent="0.25">
      <c r="A3711" s="631"/>
    </row>
    <row r="3712" spans="1:1" x14ac:dyDescent="0.25">
      <c r="A3712" s="631"/>
    </row>
    <row r="3713" spans="1:1" x14ac:dyDescent="0.25">
      <c r="A3713" s="631"/>
    </row>
    <row r="3714" spans="1:1" x14ac:dyDescent="0.25">
      <c r="A3714" s="631"/>
    </row>
    <row r="3715" spans="1:1" x14ac:dyDescent="0.25">
      <c r="A3715" s="631"/>
    </row>
    <row r="3716" spans="1:1" x14ac:dyDescent="0.25">
      <c r="A3716" s="631"/>
    </row>
    <row r="3717" spans="1:1" x14ac:dyDescent="0.25">
      <c r="A3717" s="631"/>
    </row>
    <row r="3718" spans="1:1" x14ac:dyDescent="0.25">
      <c r="A3718" s="631"/>
    </row>
    <row r="3719" spans="1:1" x14ac:dyDescent="0.25">
      <c r="A3719" s="631"/>
    </row>
    <row r="3720" spans="1:1" x14ac:dyDescent="0.25">
      <c r="A3720" s="631"/>
    </row>
    <row r="3721" spans="1:1" x14ac:dyDescent="0.25">
      <c r="A3721" s="631"/>
    </row>
    <row r="3722" spans="1:1" x14ac:dyDescent="0.25">
      <c r="A3722" s="631"/>
    </row>
    <row r="3723" spans="1:1" x14ac:dyDescent="0.25">
      <c r="A3723" s="631"/>
    </row>
    <row r="3724" spans="1:1" x14ac:dyDescent="0.25">
      <c r="A3724" s="631"/>
    </row>
    <row r="3725" spans="1:1" x14ac:dyDescent="0.25">
      <c r="A3725" s="631"/>
    </row>
    <row r="3726" spans="1:1" x14ac:dyDescent="0.25">
      <c r="A3726" s="631"/>
    </row>
    <row r="3727" spans="1:1" x14ac:dyDescent="0.25">
      <c r="A3727" s="631"/>
    </row>
    <row r="3728" spans="1:1" x14ac:dyDescent="0.25">
      <c r="A3728" s="631"/>
    </row>
    <row r="3729" spans="1:1" x14ac:dyDescent="0.25">
      <c r="A3729" s="631"/>
    </row>
    <row r="3730" spans="1:1" x14ac:dyDescent="0.25">
      <c r="A3730" s="631"/>
    </row>
    <row r="3731" spans="1:1" x14ac:dyDescent="0.25">
      <c r="A3731" s="631"/>
    </row>
    <row r="3732" spans="1:1" x14ac:dyDescent="0.25">
      <c r="A3732" s="631"/>
    </row>
    <row r="3733" spans="1:1" x14ac:dyDescent="0.25">
      <c r="A3733" s="631"/>
    </row>
    <row r="3734" spans="1:1" x14ac:dyDescent="0.25">
      <c r="A3734" s="631"/>
    </row>
    <row r="3735" spans="1:1" x14ac:dyDescent="0.25">
      <c r="A3735" s="631"/>
    </row>
    <row r="3736" spans="1:1" x14ac:dyDescent="0.25">
      <c r="A3736" s="631"/>
    </row>
    <row r="3737" spans="1:1" x14ac:dyDescent="0.25">
      <c r="A3737" s="631"/>
    </row>
    <row r="3738" spans="1:1" x14ac:dyDescent="0.25">
      <c r="A3738" s="631"/>
    </row>
    <row r="3739" spans="1:1" x14ac:dyDescent="0.25">
      <c r="A3739" s="631"/>
    </row>
    <row r="3740" spans="1:1" x14ac:dyDescent="0.25">
      <c r="A3740" s="631"/>
    </row>
    <row r="3741" spans="1:1" x14ac:dyDescent="0.25">
      <c r="A3741" s="631"/>
    </row>
    <row r="3742" spans="1:1" x14ac:dyDescent="0.25">
      <c r="A3742" s="631"/>
    </row>
    <row r="3743" spans="1:1" x14ac:dyDescent="0.25">
      <c r="A3743" s="631"/>
    </row>
    <row r="3744" spans="1:1" x14ac:dyDescent="0.25">
      <c r="A3744" s="631"/>
    </row>
    <row r="3745" spans="1:1" x14ac:dyDescent="0.25">
      <c r="A3745" s="631"/>
    </row>
    <row r="3746" spans="1:1" x14ac:dyDescent="0.25">
      <c r="A3746" s="631"/>
    </row>
    <row r="3747" spans="1:1" x14ac:dyDescent="0.25">
      <c r="A3747" s="631"/>
    </row>
    <row r="3748" spans="1:1" x14ac:dyDescent="0.25">
      <c r="A3748" s="631"/>
    </row>
    <row r="3749" spans="1:1" x14ac:dyDescent="0.25">
      <c r="A3749" s="631"/>
    </row>
    <row r="3750" spans="1:1" x14ac:dyDescent="0.25">
      <c r="A3750" s="631"/>
    </row>
    <row r="3751" spans="1:1" x14ac:dyDescent="0.25">
      <c r="A3751" s="631"/>
    </row>
    <row r="3752" spans="1:1" x14ac:dyDescent="0.25">
      <c r="A3752" s="631"/>
    </row>
    <row r="3753" spans="1:1" x14ac:dyDescent="0.25">
      <c r="A3753" s="631"/>
    </row>
    <row r="3754" spans="1:1" x14ac:dyDescent="0.25">
      <c r="A3754" s="631"/>
    </row>
    <row r="3755" spans="1:1" x14ac:dyDescent="0.25">
      <c r="A3755" s="631"/>
    </row>
    <row r="3756" spans="1:1" x14ac:dyDescent="0.25">
      <c r="A3756" s="631"/>
    </row>
    <row r="3757" spans="1:1" x14ac:dyDescent="0.25">
      <c r="A3757" s="631"/>
    </row>
    <row r="3758" spans="1:1" x14ac:dyDescent="0.25">
      <c r="A3758" s="631"/>
    </row>
    <row r="3759" spans="1:1" x14ac:dyDescent="0.25">
      <c r="A3759" s="631"/>
    </row>
    <row r="3760" spans="1:1" x14ac:dyDescent="0.25">
      <c r="A3760" s="631"/>
    </row>
    <row r="3761" spans="1:1" x14ac:dyDescent="0.25">
      <c r="A3761" s="631"/>
    </row>
    <row r="3762" spans="1:1" x14ac:dyDescent="0.25">
      <c r="A3762" s="631"/>
    </row>
    <row r="3763" spans="1:1" x14ac:dyDescent="0.25">
      <c r="A3763" s="631"/>
    </row>
    <row r="3764" spans="1:1" x14ac:dyDescent="0.25">
      <c r="A3764" s="631"/>
    </row>
    <row r="3765" spans="1:1" x14ac:dyDescent="0.25">
      <c r="A3765" s="631"/>
    </row>
    <row r="3766" spans="1:1" x14ac:dyDescent="0.25">
      <c r="A3766" s="631"/>
    </row>
    <row r="3767" spans="1:1" x14ac:dyDescent="0.25">
      <c r="A3767" s="631"/>
    </row>
    <row r="3768" spans="1:1" x14ac:dyDescent="0.25">
      <c r="A3768" s="631"/>
    </row>
    <row r="3769" spans="1:1" x14ac:dyDescent="0.25">
      <c r="A3769" s="631"/>
    </row>
    <row r="3770" spans="1:1" x14ac:dyDescent="0.25">
      <c r="A3770" s="631"/>
    </row>
    <row r="3771" spans="1:1" x14ac:dyDescent="0.25">
      <c r="A3771" s="631"/>
    </row>
    <row r="3772" spans="1:1" x14ac:dyDescent="0.25">
      <c r="A3772" s="631"/>
    </row>
    <row r="3773" spans="1:1" x14ac:dyDescent="0.25">
      <c r="A3773" s="631"/>
    </row>
    <row r="3774" spans="1:1" x14ac:dyDescent="0.25">
      <c r="A3774" s="631"/>
    </row>
    <row r="3775" spans="1:1" x14ac:dyDescent="0.25">
      <c r="A3775" s="631"/>
    </row>
    <row r="3776" spans="1:1" x14ac:dyDescent="0.25">
      <c r="A3776" s="631"/>
    </row>
    <row r="3777" spans="1:1" x14ac:dyDescent="0.25">
      <c r="A3777" s="631"/>
    </row>
    <row r="3778" spans="1:1" x14ac:dyDescent="0.25">
      <c r="A3778" s="631"/>
    </row>
    <row r="3779" spans="1:1" x14ac:dyDescent="0.25">
      <c r="A3779" s="631"/>
    </row>
    <row r="3780" spans="1:1" x14ac:dyDescent="0.25">
      <c r="A3780" s="631"/>
    </row>
    <row r="3781" spans="1:1" x14ac:dyDescent="0.25">
      <c r="A3781" s="631"/>
    </row>
    <row r="3782" spans="1:1" x14ac:dyDescent="0.25">
      <c r="A3782" s="631"/>
    </row>
    <row r="3783" spans="1:1" x14ac:dyDescent="0.25">
      <c r="A3783" s="631"/>
    </row>
    <row r="3784" spans="1:1" x14ac:dyDescent="0.25">
      <c r="A3784" s="631"/>
    </row>
    <row r="3785" spans="1:1" x14ac:dyDescent="0.25">
      <c r="A3785" s="631"/>
    </row>
    <row r="3786" spans="1:1" x14ac:dyDescent="0.25">
      <c r="A3786" s="631"/>
    </row>
    <row r="3787" spans="1:1" x14ac:dyDescent="0.25">
      <c r="A3787" s="631"/>
    </row>
    <row r="3788" spans="1:1" x14ac:dyDescent="0.25">
      <c r="A3788" s="631"/>
    </row>
    <row r="3789" spans="1:1" x14ac:dyDescent="0.25">
      <c r="A3789" s="631"/>
    </row>
    <row r="3790" spans="1:1" x14ac:dyDescent="0.25">
      <c r="A3790" s="631"/>
    </row>
    <row r="3791" spans="1:1" x14ac:dyDescent="0.25">
      <c r="A3791" s="631"/>
    </row>
    <row r="3792" spans="1:1" x14ac:dyDescent="0.25">
      <c r="A3792" s="631"/>
    </row>
    <row r="3793" spans="1:1" x14ac:dyDescent="0.25">
      <c r="A3793" s="631"/>
    </row>
    <row r="3794" spans="1:1" x14ac:dyDescent="0.25">
      <c r="A3794" s="631"/>
    </row>
    <row r="3795" spans="1:1" x14ac:dyDescent="0.25">
      <c r="A3795" s="631"/>
    </row>
    <row r="3796" spans="1:1" x14ac:dyDescent="0.25">
      <c r="A3796" s="631"/>
    </row>
    <row r="3797" spans="1:1" x14ac:dyDescent="0.25">
      <c r="A3797" s="631"/>
    </row>
    <row r="3798" spans="1:1" x14ac:dyDescent="0.25">
      <c r="A3798" s="631"/>
    </row>
    <row r="3799" spans="1:1" x14ac:dyDescent="0.25">
      <c r="A3799" s="631"/>
    </row>
    <row r="3800" spans="1:1" x14ac:dyDescent="0.25">
      <c r="A3800" s="631"/>
    </row>
    <row r="3801" spans="1:1" x14ac:dyDescent="0.25">
      <c r="A3801" s="631"/>
    </row>
    <row r="3802" spans="1:1" x14ac:dyDescent="0.25">
      <c r="A3802" s="631"/>
    </row>
    <row r="3803" spans="1:1" x14ac:dyDescent="0.25">
      <c r="A3803" s="631"/>
    </row>
    <row r="3804" spans="1:1" x14ac:dyDescent="0.25">
      <c r="A3804" s="631"/>
    </row>
    <row r="3805" spans="1:1" x14ac:dyDescent="0.25">
      <c r="A3805" s="631"/>
    </row>
    <row r="3806" spans="1:1" x14ac:dyDescent="0.25">
      <c r="A3806" s="631"/>
    </row>
    <row r="3807" spans="1:1" x14ac:dyDescent="0.25">
      <c r="A3807" s="631"/>
    </row>
    <row r="3808" spans="1:1" x14ac:dyDescent="0.25">
      <c r="A3808" s="631"/>
    </row>
    <row r="3809" spans="1:1" x14ac:dyDescent="0.25">
      <c r="A3809" s="631"/>
    </row>
    <row r="3810" spans="1:1" x14ac:dyDescent="0.25">
      <c r="A3810" s="631"/>
    </row>
    <row r="3811" spans="1:1" x14ac:dyDescent="0.25">
      <c r="A3811" s="631"/>
    </row>
    <row r="3812" spans="1:1" x14ac:dyDescent="0.25">
      <c r="A3812" s="631"/>
    </row>
    <row r="3813" spans="1:1" x14ac:dyDescent="0.25">
      <c r="A3813" s="631"/>
    </row>
    <row r="3814" spans="1:1" x14ac:dyDescent="0.25">
      <c r="A3814" s="631"/>
    </row>
    <row r="3815" spans="1:1" x14ac:dyDescent="0.25">
      <c r="A3815" s="631"/>
    </row>
    <row r="3816" spans="1:1" x14ac:dyDescent="0.25">
      <c r="A3816" s="631"/>
    </row>
    <row r="3817" spans="1:1" x14ac:dyDescent="0.25">
      <c r="A3817" s="631"/>
    </row>
    <row r="3818" spans="1:1" x14ac:dyDescent="0.25">
      <c r="A3818" s="631"/>
    </row>
    <row r="3819" spans="1:1" x14ac:dyDescent="0.25">
      <c r="A3819" s="631"/>
    </row>
    <row r="3820" spans="1:1" x14ac:dyDescent="0.25">
      <c r="A3820" s="631"/>
    </row>
    <row r="3821" spans="1:1" x14ac:dyDescent="0.25">
      <c r="A3821" s="631"/>
    </row>
    <row r="3822" spans="1:1" x14ac:dyDescent="0.25">
      <c r="A3822" s="631"/>
    </row>
    <row r="3823" spans="1:1" x14ac:dyDescent="0.25">
      <c r="A3823" s="631"/>
    </row>
    <row r="3824" spans="1:1" x14ac:dyDescent="0.25">
      <c r="A3824" s="631"/>
    </row>
    <row r="3825" spans="1:1" x14ac:dyDescent="0.25">
      <c r="A3825" s="631"/>
    </row>
    <row r="3826" spans="1:1" x14ac:dyDescent="0.25">
      <c r="A3826" s="631"/>
    </row>
    <row r="3827" spans="1:1" x14ac:dyDescent="0.25">
      <c r="A3827" s="631"/>
    </row>
    <row r="3828" spans="1:1" x14ac:dyDescent="0.25">
      <c r="A3828" s="631"/>
    </row>
    <row r="3829" spans="1:1" x14ac:dyDescent="0.25">
      <c r="A3829" s="631"/>
    </row>
    <row r="3830" spans="1:1" x14ac:dyDescent="0.25">
      <c r="A3830" s="631"/>
    </row>
    <row r="3831" spans="1:1" x14ac:dyDescent="0.25">
      <c r="A3831" s="631"/>
    </row>
    <row r="3832" spans="1:1" x14ac:dyDescent="0.25">
      <c r="A3832" s="631"/>
    </row>
    <row r="3833" spans="1:1" x14ac:dyDescent="0.25">
      <c r="A3833" s="631"/>
    </row>
    <row r="3834" spans="1:1" x14ac:dyDescent="0.25">
      <c r="A3834" s="631"/>
    </row>
    <row r="3835" spans="1:1" x14ac:dyDescent="0.25">
      <c r="A3835" s="631"/>
    </row>
    <row r="3836" spans="1:1" x14ac:dyDescent="0.25">
      <c r="A3836" s="631"/>
    </row>
    <row r="3837" spans="1:1" x14ac:dyDescent="0.25">
      <c r="A3837" s="631"/>
    </row>
    <row r="3838" spans="1:1" x14ac:dyDescent="0.25">
      <c r="A3838" s="631"/>
    </row>
    <row r="3839" spans="1:1" x14ac:dyDescent="0.25">
      <c r="A3839" s="631"/>
    </row>
    <row r="3840" spans="1:1" x14ac:dyDescent="0.25">
      <c r="A3840" s="631"/>
    </row>
    <row r="3841" spans="1:1" x14ac:dyDescent="0.25">
      <c r="A3841" s="631"/>
    </row>
    <row r="3842" spans="1:1" x14ac:dyDescent="0.25">
      <c r="A3842" s="631"/>
    </row>
    <row r="3843" spans="1:1" x14ac:dyDescent="0.25">
      <c r="A3843" s="631"/>
    </row>
    <row r="3844" spans="1:1" x14ac:dyDescent="0.25">
      <c r="A3844" s="631"/>
    </row>
    <row r="3845" spans="1:1" x14ac:dyDescent="0.25">
      <c r="A3845" s="631"/>
    </row>
    <row r="3846" spans="1:1" x14ac:dyDescent="0.25">
      <c r="A3846" s="631"/>
    </row>
    <row r="3847" spans="1:1" x14ac:dyDescent="0.25">
      <c r="A3847" s="631"/>
    </row>
    <row r="3848" spans="1:1" x14ac:dyDescent="0.25">
      <c r="A3848" s="631"/>
    </row>
    <row r="3849" spans="1:1" x14ac:dyDescent="0.25">
      <c r="A3849" s="631"/>
    </row>
    <row r="3850" spans="1:1" x14ac:dyDescent="0.25">
      <c r="A3850" s="631"/>
    </row>
    <row r="3851" spans="1:1" x14ac:dyDescent="0.25">
      <c r="A3851" s="631"/>
    </row>
    <row r="3852" spans="1:1" x14ac:dyDescent="0.25">
      <c r="A3852" s="631"/>
    </row>
    <row r="3853" spans="1:1" x14ac:dyDescent="0.25">
      <c r="A3853" s="631"/>
    </row>
    <row r="3854" spans="1:1" x14ac:dyDescent="0.25">
      <c r="A3854" s="631"/>
    </row>
    <row r="3855" spans="1:1" x14ac:dyDescent="0.25">
      <c r="A3855" s="631"/>
    </row>
    <row r="3856" spans="1:1" x14ac:dyDescent="0.25">
      <c r="A3856" s="631"/>
    </row>
    <row r="3857" spans="1:1" x14ac:dyDescent="0.25">
      <c r="A3857" s="631"/>
    </row>
    <row r="3858" spans="1:1" x14ac:dyDescent="0.25">
      <c r="A3858" s="631"/>
    </row>
    <row r="3859" spans="1:1" x14ac:dyDescent="0.25">
      <c r="A3859" s="631"/>
    </row>
    <row r="3860" spans="1:1" x14ac:dyDescent="0.25">
      <c r="A3860" s="631"/>
    </row>
    <row r="3861" spans="1:1" x14ac:dyDescent="0.25">
      <c r="A3861" s="631"/>
    </row>
    <row r="3862" spans="1:1" x14ac:dyDescent="0.25">
      <c r="A3862" s="631"/>
    </row>
    <row r="3863" spans="1:1" x14ac:dyDescent="0.25">
      <c r="A3863" s="631"/>
    </row>
    <row r="3864" spans="1:1" x14ac:dyDescent="0.25">
      <c r="A3864" s="631"/>
    </row>
    <row r="3865" spans="1:1" x14ac:dyDescent="0.25">
      <c r="A3865" s="631"/>
    </row>
    <row r="3866" spans="1:1" x14ac:dyDescent="0.25">
      <c r="A3866" s="631"/>
    </row>
    <row r="3867" spans="1:1" x14ac:dyDescent="0.25">
      <c r="A3867" s="631"/>
    </row>
    <row r="3868" spans="1:1" x14ac:dyDescent="0.25">
      <c r="A3868" s="631"/>
    </row>
    <row r="3869" spans="1:1" x14ac:dyDescent="0.25">
      <c r="A3869" s="631"/>
    </row>
    <row r="3870" spans="1:1" x14ac:dyDescent="0.25">
      <c r="A3870" s="631"/>
    </row>
    <row r="3871" spans="1:1" x14ac:dyDescent="0.25">
      <c r="A3871" s="631"/>
    </row>
    <row r="3872" spans="1:1" x14ac:dyDescent="0.25">
      <c r="A3872" s="631"/>
    </row>
    <row r="3873" spans="1:1" x14ac:dyDescent="0.25">
      <c r="A3873" s="631"/>
    </row>
    <row r="3874" spans="1:1" x14ac:dyDescent="0.25">
      <c r="A3874" s="631"/>
    </row>
    <row r="3875" spans="1:1" x14ac:dyDescent="0.25">
      <c r="A3875" s="631"/>
    </row>
    <row r="3876" spans="1:1" x14ac:dyDescent="0.25">
      <c r="A3876" s="631"/>
    </row>
    <row r="3877" spans="1:1" x14ac:dyDescent="0.25">
      <c r="A3877" s="631"/>
    </row>
    <row r="3878" spans="1:1" x14ac:dyDescent="0.25">
      <c r="A3878" s="631"/>
    </row>
    <row r="3879" spans="1:1" x14ac:dyDescent="0.25">
      <c r="A3879" s="631"/>
    </row>
    <row r="3880" spans="1:1" x14ac:dyDescent="0.25">
      <c r="A3880" s="631"/>
    </row>
    <row r="3881" spans="1:1" x14ac:dyDescent="0.25">
      <c r="A3881" s="631"/>
    </row>
    <row r="3882" spans="1:1" x14ac:dyDescent="0.25">
      <c r="A3882" s="631"/>
    </row>
    <row r="3883" spans="1:1" x14ac:dyDescent="0.25">
      <c r="A3883" s="631"/>
    </row>
    <row r="3884" spans="1:1" x14ac:dyDescent="0.25">
      <c r="A3884" s="631"/>
    </row>
    <row r="3885" spans="1:1" x14ac:dyDescent="0.25">
      <c r="A3885" s="631"/>
    </row>
    <row r="3886" spans="1:1" x14ac:dyDescent="0.25">
      <c r="A3886" s="631"/>
    </row>
    <row r="3887" spans="1:1" x14ac:dyDescent="0.25">
      <c r="A3887" s="631"/>
    </row>
    <row r="3888" spans="1:1" x14ac:dyDescent="0.25">
      <c r="A3888" s="631"/>
    </row>
    <row r="3889" spans="1:1" x14ac:dyDescent="0.25">
      <c r="A3889" s="631"/>
    </row>
    <row r="3890" spans="1:1" x14ac:dyDescent="0.25">
      <c r="A3890" s="631"/>
    </row>
    <row r="3891" spans="1:1" x14ac:dyDescent="0.25">
      <c r="A3891" s="631"/>
    </row>
    <row r="3892" spans="1:1" x14ac:dyDescent="0.25">
      <c r="A3892" s="631"/>
    </row>
    <row r="3893" spans="1:1" x14ac:dyDescent="0.25">
      <c r="A3893" s="631"/>
    </row>
    <row r="3894" spans="1:1" x14ac:dyDescent="0.25">
      <c r="A3894" s="631"/>
    </row>
    <row r="3895" spans="1:1" x14ac:dyDescent="0.25">
      <c r="A3895" s="631"/>
    </row>
    <row r="3896" spans="1:1" x14ac:dyDescent="0.25">
      <c r="A3896" s="631"/>
    </row>
    <row r="3897" spans="1:1" x14ac:dyDescent="0.25">
      <c r="A3897" s="631"/>
    </row>
    <row r="3898" spans="1:1" x14ac:dyDescent="0.25">
      <c r="A3898" s="631"/>
    </row>
    <row r="3899" spans="1:1" x14ac:dyDescent="0.25">
      <c r="A3899" s="631"/>
    </row>
    <row r="3900" spans="1:1" x14ac:dyDescent="0.25">
      <c r="A3900" s="631"/>
    </row>
    <row r="3901" spans="1:1" x14ac:dyDescent="0.25">
      <c r="A3901" s="631"/>
    </row>
    <row r="3902" spans="1:1" x14ac:dyDescent="0.25">
      <c r="A3902" s="631"/>
    </row>
    <row r="3903" spans="1:1" x14ac:dyDescent="0.25">
      <c r="A3903" s="631"/>
    </row>
    <row r="3904" spans="1:1" x14ac:dyDescent="0.25">
      <c r="A3904" s="631"/>
    </row>
    <row r="3905" spans="1:1" x14ac:dyDescent="0.25">
      <c r="A3905" s="631"/>
    </row>
    <row r="3906" spans="1:1" x14ac:dyDescent="0.25">
      <c r="A3906" s="631"/>
    </row>
    <row r="3907" spans="1:1" x14ac:dyDescent="0.25">
      <c r="A3907" s="631"/>
    </row>
    <row r="3908" spans="1:1" x14ac:dyDescent="0.25">
      <c r="A3908" s="631"/>
    </row>
    <row r="3909" spans="1:1" x14ac:dyDescent="0.25">
      <c r="A3909" s="631"/>
    </row>
    <row r="3910" spans="1:1" x14ac:dyDescent="0.25">
      <c r="A3910" s="631"/>
    </row>
    <row r="3911" spans="1:1" x14ac:dyDescent="0.25">
      <c r="A3911" s="631"/>
    </row>
    <row r="3912" spans="1:1" x14ac:dyDescent="0.25">
      <c r="A3912" s="631"/>
    </row>
    <row r="3913" spans="1:1" x14ac:dyDescent="0.25">
      <c r="A3913" s="631"/>
    </row>
    <row r="3914" spans="1:1" x14ac:dyDescent="0.25">
      <c r="A3914" s="631"/>
    </row>
    <row r="3915" spans="1:1" x14ac:dyDescent="0.25">
      <c r="A3915" s="631"/>
    </row>
    <row r="3916" spans="1:1" x14ac:dyDescent="0.25">
      <c r="A3916" s="631"/>
    </row>
    <row r="3917" spans="1:1" x14ac:dyDescent="0.25">
      <c r="A3917" s="631"/>
    </row>
    <row r="3918" spans="1:1" x14ac:dyDescent="0.25">
      <c r="A3918" s="631"/>
    </row>
    <row r="3919" spans="1:1" x14ac:dyDescent="0.25">
      <c r="A3919" s="631"/>
    </row>
    <row r="3920" spans="1:1" x14ac:dyDescent="0.25">
      <c r="A3920" s="631"/>
    </row>
    <row r="3921" spans="1:1" x14ac:dyDescent="0.25">
      <c r="A3921" s="631"/>
    </row>
    <row r="3922" spans="1:1" x14ac:dyDescent="0.25">
      <c r="A3922" s="631"/>
    </row>
    <row r="3923" spans="1:1" x14ac:dyDescent="0.25">
      <c r="A3923" s="631"/>
    </row>
    <row r="3924" spans="1:1" x14ac:dyDescent="0.25">
      <c r="A3924" s="631"/>
    </row>
    <row r="3925" spans="1:1" x14ac:dyDescent="0.25">
      <c r="A3925" s="631"/>
    </row>
    <row r="3926" spans="1:1" x14ac:dyDescent="0.25">
      <c r="A3926" s="631"/>
    </row>
    <row r="3927" spans="1:1" x14ac:dyDescent="0.25">
      <c r="A3927" s="631"/>
    </row>
    <row r="3928" spans="1:1" x14ac:dyDescent="0.25">
      <c r="A3928" s="631"/>
    </row>
    <row r="3929" spans="1:1" x14ac:dyDescent="0.25">
      <c r="A3929" s="631"/>
    </row>
    <row r="3930" spans="1:1" x14ac:dyDescent="0.25">
      <c r="A3930" s="631"/>
    </row>
    <row r="3931" spans="1:1" x14ac:dyDescent="0.25">
      <c r="A3931" s="631"/>
    </row>
    <row r="3932" spans="1:1" x14ac:dyDescent="0.25">
      <c r="A3932" s="631"/>
    </row>
    <row r="3933" spans="1:1" x14ac:dyDescent="0.25">
      <c r="A3933" s="631"/>
    </row>
    <row r="3934" spans="1:1" x14ac:dyDescent="0.25">
      <c r="A3934" s="631"/>
    </row>
    <row r="3935" spans="1:1" x14ac:dyDescent="0.25">
      <c r="A3935" s="631"/>
    </row>
    <row r="3936" spans="1:1" x14ac:dyDescent="0.25">
      <c r="A3936" s="631"/>
    </row>
    <row r="3937" spans="1:1" x14ac:dyDescent="0.25">
      <c r="A3937" s="631"/>
    </row>
    <row r="3938" spans="1:1" x14ac:dyDescent="0.25">
      <c r="A3938" s="631"/>
    </row>
    <row r="3939" spans="1:1" x14ac:dyDescent="0.25">
      <c r="A3939" s="631"/>
    </row>
    <row r="3940" spans="1:1" x14ac:dyDescent="0.25">
      <c r="A3940" s="631"/>
    </row>
    <row r="3941" spans="1:1" x14ac:dyDescent="0.25">
      <c r="A3941" s="631"/>
    </row>
    <row r="3942" spans="1:1" x14ac:dyDescent="0.25">
      <c r="A3942" s="631"/>
    </row>
    <row r="3943" spans="1:1" x14ac:dyDescent="0.25">
      <c r="A3943" s="631"/>
    </row>
    <row r="3944" spans="1:1" x14ac:dyDescent="0.25">
      <c r="A3944" s="631"/>
    </row>
    <row r="3945" spans="1:1" x14ac:dyDescent="0.25">
      <c r="A3945" s="631"/>
    </row>
    <row r="3946" spans="1:1" x14ac:dyDescent="0.25">
      <c r="A3946" s="631"/>
    </row>
    <row r="3947" spans="1:1" x14ac:dyDescent="0.25">
      <c r="A3947" s="631"/>
    </row>
    <row r="3948" spans="1:1" x14ac:dyDescent="0.25">
      <c r="A3948" s="631"/>
    </row>
    <row r="3949" spans="1:1" x14ac:dyDescent="0.25">
      <c r="A3949" s="631"/>
    </row>
    <row r="3950" spans="1:1" x14ac:dyDescent="0.25">
      <c r="A3950" s="631"/>
    </row>
    <row r="3951" spans="1:1" x14ac:dyDescent="0.25">
      <c r="A3951" s="631"/>
    </row>
    <row r="3952" spans="1:1" x14ac:dyDescent="0.25">
      <c r="A3952" s="631"/>
    </row>
    <row r="3953" spans="1:1" x14ac:dyDescent="0.25">
      <c r="A3953" s="631"/>
    </row>
    <row r="3954" spans="1:1" x14ac:dyDescent="0.25">
      <c r="A3954" s="631"/>
    </row>
    <row r="3955" spans="1:1" x14ac:dyDescent="0.25">
      <c r="A3955" s="631"/>
    </row>
    <row r="3956" spans="1:1" x14ac:dyDescent="0.25">
      <c r="A3956" s="631"/>
    </row>
    <row r="3957" spans="1:1" x14ac:dyDescent="0.25">
      <c r="A3957" s="631"/>
    </row>
    <row r="3958" spans="1:1" x14ac:dyDescent="0.25">
      <c r="A3958" s="631"/>
    </row>
    <row r="3959" spans="1:1" x14ac:dyDescent="0.25">
      <c r="A3959" s="631"/>
    </row>
    <row r="3960" spans="1:1" x14ac:dyDescent="0.25">
      <c r="A3960" s="631"/>
    </row>
    <row r="3961" spans="1:1" x14ac:dyDescent="0.25">
      <c r="A3961" s="631"/>
    </row>
    <row r="3962" spans="1:1" x14ac:dyDescent="0.25">
      <c r="A3962" s="631"/>
    </row>
    <row r="3963" spans="1:1" x14ac:dyDescent="0.25">
      <c r="A3963" s="631"/>
    </row>
    <row r="3964" spans="1:1" x14ac:dyDescent="0.25">
      <c r="A3964" s="631"/>
    </row>
    <row r="3965" spans="1:1" x14ac:dyDescent="0.25">
      <c r="A3965" s="631"/>
    </row>
    <row r="3966" spans="1:1" x14ac:dyDescent="0.25">
      <c r="A3966" s="631"/>
    </row>
    <row r="3967" spans="1:1" x14ac:dyDescent="0.25">
      <c r="A3967" s="631"/>
    </row>
    <row r="3968" spans="1:1" x14ac:dyDescent="0.25">
      <c r="A3968" s="631"/>
    </row>
    <row r="3969" spans="1:1" x14ac:dyDescent="0.25">
      <c r="A3969" s="631"/>
    </row>
    <row r="3970" spans="1:1" x14ac:dyDescent="0.25">
      <c r="A3970" s="631"/>
    </row>
    <row r="3971" spans="1:1" x14ac:dyDescent="0.25">
      <c r="A3971" s="631"/>
    </row>
    <row r="3972" spans="1:1" x14ac:dyDescent="0.25">
      <c r="A3972" s="631"/>
    </row>
    <row r="3973" spans="1:1" x14ac:dyDescent="0.25">
      <c r="A3973" s="631"/>
    </row>
    <row r="3974" spans="1:1" x14ac:dyDescent="0.25">
      <c r="A3974" s="631"/>
    </row>
    <row r="3975" spans="1:1" x14ac:dyDescent="0.25">
      <c r="A3975" s="631"/>
    </row>
    <row r="3976" spans="1:1" x14ac:dyDescent="0.25">
      <c r="A3976" s="631"/>
    </row>
    <row r="3977" spans="1:1" x14ac:dyDescent="0.25">
      <c r="A3977" s="631"/>
    </row>
    <row r="3978" spans="1:1" x14ac:dyDescent="0.25">
      <c r="A3978" s="631"/>
    </row>
    <row r="3979" spans="1:1" x14ac:dyDescent="0.25">
      <c r="A3979" s="631"/>
    </row>
    <row r="3980" spans="1:1" x14ac:dyDescent="0.25">
      <c r="A3980" s="631"/>
    </row>
    <row r="3981" spans="1:1" x14ac:dyDescent="0.25">
      <c r="A3981" s="631"/>
    </row>
    <row r="3982" spans="1:1" x14ac:dyDescent="0.25">
      <c r="A3982" s="631"/>
    </row>
    <row r="3983" spans="1:1" x14ac:dyDescent="0.25">
      <c r="A3983" s="631"/>
    </row>
    <row r="3984" spans="1:1" x14ac:dyDescent="0.25">
      <c r="A3984" s="631"/>
    </row>
    <row r="3985" spans="1:1" x14ac:dyDescent="0.25">
      <c r="A3985" s="631"/>
    </row>
    <row r="3986" spans="1:1" x14ac:dyDescent="0.25">
      <c r="A3986" s="631"/>
    </row>
    <row r="3987" spans="1:1" x14ac:dyDescent="0.25">
      <c r="A3987" s="631"/>
    </row>
    <row r="3988" spans="1:1" x14ac:dyDescent="0.25">
      <c r="A3988" s="631"/>
    </row>
    <row r="3989" spans="1:1" x14ac:dyDescent="0.25">
      <c r="A3989" s="631"/>
    </row>
    <row r="3990" spans="1:1" x14ac:dyDescent="0.25">
      <c r="A3990" s="631"/>
    </row>
    <row r="3991" spans="1:1" x14ac:dyDescent="0.25">
      <c r="A3991" s="631"/>
    </row>
    <row r="3992" spans="1:1" x14ac:dyDescent="0.25">
      <c r="A3992" s="631"/>
    </row>
    <row r="3993" spans="1:1" x14ac:dyDescent="0.25">
      <c r="A3993" s="631"/>
    </row>
    <row r="3994" spans="1:1" x14ac:dyDescent="0.25">
      <c r="A3994" s="631"/>
    </row>
    <row r="3995" spans="1:1" x14ac:dyDescent="0.25">
      <c r="A3995" s="631"/>
    </row>
    <row r="3996" spans="1:1" x14ac:dyDescent="0.25">
      <c r="A3996" s="631"/>
    </row>
    <row r="3997" spans="1:1" x14ac:dyDescent="0.25">
      <c r="A3997" s="631"/>
    </row>
    <row r="3998" spans="1:1" x14ac:dyDescent="0.25">
      <c r="A3998" s="631"/>
    </row>
    <row r="3999" spans="1:1" x14ac:dyDescent="0.25">
      <c r="A3999" s="631"/>
    </row>
    <row r="4000" spans="1:1" x14ac:dyDescent="0.25">
      <c r="A4000" s="631"/>
    </row>
    <row r="4001" spans="1:1" x14ac:dyDescent="0.25">
      <c r="A4001" s="631"/>
    </row>
    <row r="4002" spans="1:1" x14ac:dyDescent="0.25">
      <c r="A4002" s="631"/>
    </row>
    <row r="4003" spans="1:1" x14ac:dyDescent="0.25">
      <c r="A4003" s="631"/>
    </row>
    <row r="4004" spans="1:1" x14ac:dyDescent="0.25">
      <c r="A4004" s="631"/>
    </row>
    <row r="4005" spans="1:1" x14ac:dyDescent="0.25">
      <c r="A4005" s="631"/>
    </row>
    <row r="4006" spans="1:1" x14ac:dyDescent="0.25">
      <c r="A4006" s="631"/>
    </row>
    <row r="4007" spans="1:1" x14ac:dyDescent="0.25">
      <c r="A4007" s="631"/>
    </row>
    <row r="4008" spans="1:1" x14ac:dyDescent="0.25">
      <c r="A4008" s="631"/>
    </row>
    <row r="4009" spans="1:1" x14ac:dyDescent="0.25">
      <c r="A4009" s="631"/>
    </row>
    <row r="4010" spans="1:1" x14ac:dyDescent="0.25">
      <c r="A4010" s="631"/>
    </row>
    <row r="4011" spans="1:1" x14ac:dyDescent="0.25">
      <c r="A4011" s="631"/>
    </row>
    <row r="4012" spans="1:1" x14ac:dyDescent="0.25">
      <c r="A4012" s="631"/>
    </row>
    <row r="4013" spans="1:1" x14ac:dyDescent="0.25">
      <c r="A4013" s="631"/>
    </row>
    <row r="4014" spans="1:1" x14ac:dyDescent="0.25">
      <c r="A4014" s="631"/>
    </row>
    <row r="4015" spans="1:1" x14ac:dyDescent="0.25">
      <c r="A4015" s="631"/>
    </row>
    <row r="4016" spans="1:1" x14ac:dyDescent="0.25">
      <c r="A4016" s="631"/>
    </row>
    <row r="4017" spans="1:1" x14ac:dyDescent="0.25">
      <c r="A4017" s="631"/>
    </row>
    <row r="4018" spans="1:1" x14ac:dyDescent="0.25">
      <c r="A4018" s="631"/>
    </row>
    <row r="4019" spans="1:1" x14ac:dyDescent="0.25">
      <c r="A4019" s="631"/>
    </row>
    <row r="4020" spans="1:1" x14ac:dyDescent="0.25">
      <c r="A4020" s="631"/>
    </row>
    <row r="4021" spans="1:1" x14ac:dyDescent="0.25">
      <c r="A4021" s="631"/>
    </row>
    <row r="4022" spans="1:1" x14ac:dyDescent="0.25">
      <c r="A4022" s="631"/>
    </row>
    <row r="4023" spans="1:1" x14ac:dyDescent="0.25">
      <c r="A4023" s="631"/>
    </row>
    <row r="4024" spans="1:1" x14ac:dyDescent="0.25">
      <c r="A4024" s="631"/>
    </row>
    <row r="4025" spans="1:1" x14ac:dyDescent="0.25">
      <c r="A4025" s="631"/>
    </row>
    <row r="4026" spans="1:1" x14ac:dyDescent="0.25">
      <c r="A4026" s="631"/>
    </row>
    <row r="4027" spans="1:1" x14ac:dyDescent="0.25">
      <c r="A4027" s="631"/>
    </row>
    <row r="4028" spans="1:1" x14ac:dyDescent="0.25">
      <c r="A4028" s="631"/>
    </row>
    <row r="4029" spans="1:1" x14ac:dyDescent="0.25">
      <c r="A4029" s="631"/>
    </row>
    <row r="4030" spans="1:1" x14ac:dyDescent="0.25">
      <c r="A4030" s="631"/>
    </row>
    <row r="4031" spans="1:1" x14ac:dyDescent="0.25">
      <c r="A4031" s="631"/>
    </row>
    <row r="4032" spans="1:1" x14ac:dyDescent="0.25">
      <c r="A4032" s="631"/>
    </row>
    <row r="4033" spans="1:1" x14ac:dyDescent="0.25">
      <c r="A4033" s="631"/>
    </row>
    <row r="4034" spans="1:1" x14ac:dyDescent="0.25">
      <c r="A4034" s="631"/>
    </row>
    <row r="4035" spans="1:1" x14ac:dyDescent="0.25">
      <c r="A4035" s="631"/>
    </row>
    <row r="4036" spans="1:1" x14ac:dyDescent="0.25">
      <c r="A4036" s="631"/>
    </row>
    <row r="4037" spans="1:1" x14ac:dyDescent="0.25">
      <c r="A4037" s="631"/>
    </row>
    <row r="4038" spans="1:1" x14ac:dyDescent="0.25">
      <c r="A4038" s="631"/>
    </row>
    <row r="4039" spans="1:1" x14ac:dyDescent="0.25">
      <c r="A4039" s="631"/>
    </row>
    <row r="4040" spans="1:1" x14ac:dyDescent="0.25">
      <c r="A4040" s="631"/>
    </row>
    <row r="4041" spans="1:1" x14ac:dyDescent="0.25">
      <c r="A4041" s="631"/>
    </row>
    <row r="4042" spans="1:1" x14ac:dyDescent="0.25">
      <c r="A4042" s="631"/>
    </row>
    <row r="4043" spans="1:1" x14ac:dyDescent="0.25">
      <c r="A4043" s="631"/>
    </row>
    <row r="4044" spans="1:1" x14ac:dyDescent="0.25">
      <c r="A4044" s="631"/>
    </row>
    <row r="4045" spans="1:1" x14ac:dyDescent="0.25">
      <c r="A4045" s="631"/>
    </row>
    <row r="4046" spans="1:1" x14ac:dyDescent="0.25">
      <c r="A4046" s="631"/>
    </row>
    <row r="4047" spans="1:1" x14ac:dyDescent="0.25">
      <c r="A4047" s="631"/>
    </row>
    <row r="4048" spans="1:1" x14ac:dyDescent="0.25">
      <c r="A4048" s="631"/>
    </row>
    <row r="4049" spans="1:1" x14ac:dyDescent="0.25">
      <c r="A4049" s="631"/>
    </row>
    <row r="4050" spans="1:1" x14ac:dyDescent="0.25">
      <c r="A4050" s="631"/>
    </row>
    <row r="4051" spans="1:1" x14ac:dyDescent="0.25">
      <c r="A4051" s="631"/>
    </row>
    <row r="4052" spans="1:1" x14ac:dyDescent="0.25">
      <c r="A4052" s="631"/>
    </row>
    <row r="4053" spans="1:1" x14ac:dyDescent="0.25">
      <c r="A4053" s="631"/>
    </row>
    <row r="4054" spans="1:1" x14ac:dyDescent="0.25">
      <c r="A4054" s="631"/>
    </row>
    <row r="4055" spans="1:1" x14ac:dyDescent="0.25">
      <c r="A4055" s="631"/>
    </row>
    <row r="4056" spans="1:1" x14ac:dyDescent="0.25">
      <c r="A4056" s="631"/>
    </row>
    <row r="4057" spans="1:1" x14ac:dyDescent="0.25">
      <c r="A4057" s="631"/>
    </row>
    <row r="4058" spans="1:1" x14ac:dyDescent="0.25">
      <c r="A4058" s="631"/>
    </row>
    <row r="4059" spans="1:1" x14ac:dyDescent="0.25">
      <c r="A4059" s="631"/>
    </row>
    <row r="4060" spans="1:1" x14ac:dyDescent="0.25">
      <c r="A4060" s="631"/>
    </row>
    <row r="4061" spans="1:1" x14ac:dyDescent="0.25">
      <c r="A4061" s="631"/>
    </row>
    <row r="4062" spans="1:1" x14ac:dyDescent="0.25">
      <c r="A4062" s="631"/>
    </row>
    <row r="4063" spans="1:1" x14ac:dyDescent="0.25">
      <c r="A4063" s="631"/>
    </row>
    <row r="4064" spans="1:1" x14ac:dyDescent="0.25">
      <c r="A4064" s="631"/>
    </row>
    <row r="4065" spans="1:1" x14ac:dyDescent="0.25">
      <c r="A4065" s="631"/>
    </row>
    <row r="4066" spans="1:1" x14ac:dyDescent="0.25">
      <c r="A4066" s="631"/>
    </row>
    <row r="4067" spans="1:1" x14ac:dyDescent="0.25">
      <c r="A4067" s="631"/>
    </row>
    <row r="4068" spans="1:1" x14ac:dyDescent="0.25">
      <c r="A4068" s="631"/>
    </row>
    <row r="4069" spans="1:1" x14ac:dyDescent="0.25">
      <c r="A4069" s="631"/>
    </row>
    <row r="4070" spans="1:1" x14ac:dyDescent="0.25">
      <c r="A4070" s="631"/>
    </row>
    <row r="4071" spans="1:1" x14ac:dyDescent="0.25">
      <c r="A4071" s="631"/>
    </row>
    <row r="4072" spans="1:1" x14ac:dyDescent="0.25">
      <c r="A4072" s="631"/>
    </row>
    <row r="4073" spans="1:1" x14ac:dyDescent="0.25">
      <c r="A4073" s="631"/>
    </row>
    <row r="4074" spans="1:1" x14ac:dyDescent="0.25">
      <c r="A4074" s="631"/>
    </row>
    <row r="4075" spans="1:1" x14ac:dyDescent="0.25">
      <c r="A4075" s="631"/>
    </row>
    <row r="4076" spans="1:1" x14ac:dyDescent="0.25">
      <c r="A4076" s="631"/>
    </row>
    <row r="4077" spans="1:1" x14ac:dyDescent="0.25">
      <c r="A4077" s="631"/>
    </row>
    <row r="4078" spans="1:1" x14ac:dyDescent="0.25">
      <c r="A4078" s="631"/>
    </row>
    <row r="4079" spans="1:1" x14ac:dyDescent="0.25">
      <c r="A4079" s="631"/>
    </row>
    <row r="4080" spans="1:1" x14ac:dyDescent="0.25">
      <c r="A4080" s="631"/>
    </row>
    <row r="4081" spans="1:1" x14ac:dyDescent="0.25">
      <c r="A4081" s="631"/>
    </row>
    <row r="4082" spans="1:1" x14ac:dyDescent="0.25">
      <c r="A4082" s="631"/>
    </row>
    <row r="4083" spans="1:1" x14ac:dyDescent="0.25">
      <c r="A4083" s="631"/>
    </row>
    <row r="4084" spans="1:1" x14ac:dyDescent="0.25">
      <c r="A4084" s="631"/>
    </row>
    <row r="4085" spans="1:1" x14ac:dyDescent="0.25">
      <c r="A4085" s="631"/>
    </row>
    <row r="4086" spans="1:1" x14ac:dyDescent="0.25">
      <c r="A4086" s="631"/>
    </row>
    <row r="4087" spans="1:1" x14ac:dyDescent="0.25">
      <c r="A4087" s="631"/>
    </row>
    <row r="4088" spans="1:1" x14ac:dyDescent="0.25">
      <c r="A4088" s="631"/>
    </row>
    <row r="4089" spans="1:1" x14ac:dyDescent="0.25">
      <c r="A4089" s="631"/>
    </row>
    <row r="4090" spans="1:1" x14ac:dyDescent="0.25">
      <c r="A4090" s="631"/>
    </row>
    <row r="4091" spans="1:1" x14ac:dyDescent="0.25">
      <c r="A4091" s="631"/>
    </row>
    <row r="4092" spans="1:1" x14ac:dyDescent="0.25">
      <c r="A4092" s="631"/>
    </row>
    <row r="4093" spans="1:1" x14ac:dyDescent="0.25">
      <c r="A4093" s="631"/>
    </row>
    <row r="4094" spans="1:1" x14ac:dyDescent="0.25">
      <c r="A4094" s="631"/>
    </row>
    <row r="4095" spans="1:1" x14ac:dyDescent="0.25">
      <c r="A4095" s="631"/>
    </row>
    <row r="4096" spans="1:1" x14ac:dyDescent="0.25">
      <c r="A4096" s="631"/>
    </row>
    <row r="4097" spans="1:1" x14ac:dyDescent="0.25">
      <c r="A4097" s="631"/>
    </row>
    <row r="4098" spans="1:1" x14ac:dyDescent="0.25">
      <c r="A4098" s="631"/>
    </row>
    <row r="4099" spans="1:1" x14ac:dyDescent="0.25">
      <c r="A4099" s="631"/>
    </row>
    <row r="4100" spans="1:1" x14ac:dyDescent="0.25">
      <c r="A4100" s="631"/>
    </row>
    <row r="4101" spans="1:1" x14ac:dyDescent="0.25">
      <c r="A4101" s="631"/>
    </row>
    <row r="4102" spans="1:1" x14ac:dyDescent="0.25">
      <c r="A4102" s="631"/>
    </row>
    <row r="4103" spans="1:1" x14ac:dyDescent="0.25">
      <c r="A4103" s="631"/>
    </row>
    <row r="4104" spans="1:1" x14ac:dyDescent="0.25">
      <c r="A4104" s="631"/>
    </row>
    <row r="4105" spans="1:1" x14ac:dyDescent="0.25">
      <c r="A4105" s="631"/>
    </row>
    <row r="4106" spans="1:1" x14ac:dyDescent="0.25">
      <c r="A4106" s="631"/>
    </row>
    <row r="4107" spans="1:1" x14ac:dyDescent="0.25">
      <c r="A4107" s="631"/>
    </row>
    <row r="4108" spans="1:1" x14ac:dyDescent="0.25">
      <c r="A4108" s="631"/>
    </row>
    <row r="4109" spans="1:1" x14ac:dyDescent="0.25">
      <c r="A4109" s="631"/>
    </row>
    <row r="4110" spans="1:1" x14ac:dyDescent="0.25">
      <c r="A4110" s="631"/>
    </row>
    <row r="4111" spans="1:1" x14ac:dyDescent="0.25">
      <c r="A4111" s="631"/>
    </row>
    <row r="4112" spans="1:1" x14ac:dyDescent="0.25">
      <c r="A4112" s="631"/>
    </row>
    <row r="4113" spans="1:1" x14ac:dyDescent="0.25">
      <c r="A4113" s="631"/>
    </row>
    <row r="4114" spans="1:1" x14ac:dyDescent="0.25">
      <c r="A4114" s="631"/>
    </row>
    <row r="4115" spans="1:1" x14ac:dyDescent="0.25">
      <c r="A4115" s="631"/>
    </row>
    <row r="4116" spans="1:1" x14ac:dyDescent="0.25">
      <c r="A4116" s="631"/>
    </row>
    <row r="4117" spans="1:1" x14ac:dyDescent="0.25">
      <c r="A4117" s="631"/>
    </row>
    <row r="4118" spans="1:1" x14ac:dyDescent="0.25">
      <c r="A4118" s="631"/>
    </row>
    <row r="4119" spans="1:1" x14ac:dyDescent="0.25">
      <c r="A4119" s="631"/>
    </row>
    <row r="4120" spans="1:1" x14ac:dyDescent="0.25">
      <c r="A4120" s="631"/>
    </row>
    <row r="4121" spans="1:1" x14ac:dyDescent="0.25">
      <c r="A4121" s="631"/>
    </row>
    <row r="4122" spans="1:1" x14ac:dyDescent="0.25">
      <c r="A4122" s="631"/>
    </row>
    <row r="4123" spans="1:1" x14ac:dyDescent="0.25">
      <c r="A4123" s="631"/>
    </row>
    <row r="4124" spans="1:1" x14ac:dyDescent="0.25">
      <c r="A4124" s="631"/>
    </row>
    <row r="4125" spans="1:1" x14ac:dyDescent="0.25">
      <c r="A4125" s="631"/>
    </row>
    <row r="4126" spans="1:1" x14ac:dyDescent="0.25">
      <c r="A4126" s="631"/>
    </row>
    <row r="4127" spans="1:1" x14ac:dyDescent="0.25">
      <c r="A4127" s="631"/>
    </row>
    <row r="4128" spans="1:1" x14ac:dyDescent="0.25">
      <c r="A4128" s="631"/>
    </row>
    <row r="4129" spans="1:1" x14ac:dyDescent="0.25">
      <c r="A4129" s="631"/>
    </row>
    <row r="4130" spans="1:1" x14ac:dyDescent="0.25">
      <c r="A4130" s="631"/>
    </row>
    <row r="4131" spans="1:1" x14ac:dyDescent="0.25">
      <c r="A4131" s="631"/>
    </row>
    <row r="4132" spans="1:1" x14ac:dyDescent="0.25">
      <c r="A4132" s="631"/>
    </row>
    <row r="4133" spans="1:1" x14ac:dyDescent="0.25">
      <c r="A4133" s="631"/>
    </row>
    <row r="4134" spans="1:1" x14ac:dyDescent="0.25">
      <c r="A4134" s="631"/>
    </row>
    <row r="4135" spans="1:1" x14ac:dyDescent="0.25">
      <c r="A4135" s="631"/>
    </row>
    <row r="4136" spans="1:1" x14ac:dyDescent="0.25">
      <c r="A4136" s="631"/>
    </row>
    <row r="4137" spans="1:1" x14ac:dyDescent="0.25">
      <c r="A4137" s="631"/>
    </row>
    <row r="4138" spans="1:1" x14ac:dyDescent="0.25">
      <c r="A4138" s="631"/>
    </row>
    <row r="4139" spans="1:1" x14ac:dyDescent="0.25">
      <c r="A4139" s="631"/>
    </row>
    <row r="4140" spans="1:1" x14ac:dyDescent="0.25">
      <c r="A4140" s="631"/>
    </row>
    <row r="4141" spans="1:1" x14ac:dyDescent="0.25">
      <c r="A4141" s="631"/>
    </row>
    <row r="4142" spans="1:1" x14ac:dyDescent="0.25">
      <c r="A4142" s="631"/>
    </row>
    <row r="4143" spans="1:1" x14ac:dyDescent="0.25">
      <c r="A4143" s="631"/>
    </row>
    <row r="4144" spans="1:1" x14ac:dyDescent="0.25">
      <c r="A4144" s="631"/>
    </row>
    <row r="4145" spans="1:1" x14ac:dyDescent="0.25">
      <c r="A4145" s="631"/>
    </row>
    <row r="4146" spans="1:1" x14ac:dyDescent="0.25">
      <c r="A4146" s="631"/>
    </row>
    <row r="4147" spans="1:1" x14ac:dyDescent="0.25">
      <c r="A4147" s="631"/>
    </row>
    <row r="4148" spans="1:1" x14ac:dyDescent="0.25">
      <c r="A4148" s="631"/>
    </row>
    <row r="4149" spans="1:1" x14ac:dyDescent="0.25">
      <c r="A4149" s="631"/>
    </row>
    <row r="4150" spans="1:1" x14ac:dyDescent="0.25">
      <c r="A4150" s="631"/>
    </row>
    <row r="4151" spans="1:1" x14ac:dyDescent="0.25">
      <c r="A4151" s="631"/>
    </row>
    <row r="4152" spans="1:1" x14ac:dyDescent="0.25">
      <c r="A4152" s="631"/>
    </row>
    <row r="4153" spans="1:1" x14ac:dyDescent="0.25">
      <c r="A4153" s="631"/>
    </row>
    <row r="4154" spans="1:1" x14ac:dyDescent="0.25">
      <c r="A4154" s="631"/>
    </row>
    <row r="4155" spans="1:1" x14ac:dyDescent="0.25">
      <c r="A4155" s="631"/>
    </row>
    <row r="4156" spans="1:1" x14ac:dyDescent="0.25">
      <c r="A4156" s="631"/>
    </row>
    <row r="4157" spans="1:1" x14ac:dyDescent="0.25">
      <c r="A4157" s="631"/>
    </row>
    <row r="4158" spans="1:1" x14ac:dyDescent="0.25">
      <c r="A4158" s="631"/>
    </row>
    <row r="4159" spans="1:1" x14ac:dyDescent="0.25">
      <c r="A4159" s="631"/>
    </row>
    <row r="4160" spans="1:1" x14ac:dyDescent="0.25">
      <c r="A4160" s="631"/>
    </row>
    <row r="4161" spans="1:1" x14ac:dyDescent="0.25">
      <c r="A4161" s="631"/>
    </row>
    <row r="4162" spans="1:1" x14ac:dyDescent="0.25">
      <c r="A4162" s="631"/>
    </row>
    <row r="4163" spans="1:1" x14ac:dyDescent="0.25">
      <c r="A4163" s="631"/>
    </row>
    <row r="4164" spans="1:1" x14ac:dyDescent="0.25">
      <c r="A4164" s="631"/>
    </row>
    <row r="4165" spans="1:1" x14ac:dyDescent="0.25">
      <c r="A4165" s="631"/>
    </row>
    <row r="4166" spans="1:1" x14ac:dyDescent="0.25">
      <c r="A4166" s="631"/>
    </row>
    <row r="4167" spans="1:1" x14ac:dyDescent="0.25">
      <c r="A4167" s="631"/>
    </row>
    <row r="4168" spans="1:1" x14ac:dyDescent="0.25">
      <c r="A4168" s="631"/>
    </row>
    <row r="4169" spans="1:1" x14ac:dyDescent="0.25">
      <c r="A4169" s="631"/>
    </row>
    <row r="4170" spans="1:1" x14ac:dyDescent="0.25">
      <c r="A4170" s="631"/>
    </row>
    <row r="4171" spans="1:1" x14ac:dyDescent="0.25">
      <c r="A4171" s="631"/>
    </row>
    <row r="4172" spans="1:1" x14ac:dyDescent="0.25">
      <c r="A4172" s="631"/>
    </row>
    <row r="4173" spans="1:1" x14ac:dyDescent="0.25">
      <c r="A4173" s="631"/>
    </row>
    <row r="4174" spans="1:1" x14ac:dyDescent="0.25">
      <c r="A4174" s="631"/>
    </row>
    <row r="4175" spans="1:1" x14ac:dyDescent="0.25">
      <c r="A4175" s="631"/>
    </row>
    <row r="4176" spans="1:1" x14ac:dyDescent="0.25">
      <c r="A4176" s="631"/>
    </row>
    <row r="4177" spans="1:1" x14ac:dyDescent="0.25">
      <c r="A4177" s="631"/>
    </row>
    <row r="4178" spans="1:1" x14ac:dyDescent="0.25">
      <c r="A4178" s="631"/>
    </row>
    <row r="4179" spans="1:1" x14ac:dyDescent="0.25">
      <c r="A4179" s="631"/>
    </row>
    <row r="4180" spans="1:1" x14ac:dyDescent="0.25">
      <c r="A4180" s="631"/>
    </row>
    <row r="4181" spans="1:1" x14ac:dyDescent="0.25">
      <c r="A4181" s="631"/>
    </row>
    <row r="4182" spans="1:1" x14ac:dyDescent="0.25">
      <c r="A4182" s="631"/>
    </row>
    <row r="4183" spans="1:1" x14ac:dyDescent="0.25">
      <c r="A4183" s="631"/>
    </row>
    <row r="4184" spans="1:1" x14ac:dyDescent="0.25">
      <c r="A4184" s="631"/>
    </row>
    <row r="4185" spans="1:1" x14ac:dyDescent="0.25">
      <c r="A4185" s="631"/>
    </row>
    <row r="4186" spans="1:1" x14ac:dyDescent="0.25">
      <c r="A4186" s="631"/>
    </row>
    <row r="4187" spans="1:1" x14ac:dyDescent="0.25">
      <c r="A4187" s="631"/>
    </row>
    <row r="4188" spans="1:1" x14ac:dyDescent="0.25">
      <c r="A4188" s="631"/>
    </row>
    <row r="4189" spans="1:1" x14ac:dyDescent="0.25">
      <c r="A4189" s="631"/>
    </row>
    <row r="4190" spans="1:1" x14ac:dyDescent="0.25">
      <c r="A4190" s="631"/>
    </row>
    <row r="4191" spans="1:1" x14ac:dyDescent="0.25">
      <c r="A4191" s="631"/>
    </row>
    <row r="4192" spans="1:1" x14ac:dyDescent="0.25">
      <c r="A4192" s="631"/>
    </row>
    <row r="4193" spans="1:1" x14ac:dyDescent="0.25">
      <c r="A4193" s="631"/>
    </row>
    <row r="4194" spans="1:1" x14ac:dyDescent="0.25">
      <c r="A4194" s="631"/>
    </row>
    <row r="4195" spans="1:1" x14ac:dyDescent="0.25">
      <c r="A4195" s="631"/>
    </row>
    <row r="4196" spans="1:1" x14ac:dyDescent="0.25">
      <c r="A4196" s="631"/>
    </row>
    <row r="4197" spans="1:1" x14ac:dyDescent="0.25">
      <c r="A4197" s="631"/>
    </row>
    <row r="4198" spans="1:1" x14ac:dyDescent="0.25">
      <c r="A4198" s="631"/>
    </row>
    <row r="4199" spans="1:1" x14ac:dyDescent="0.25">
      <c r="A4199" s="631"/>
    </row>
    <row r="4200" spans="1:1" x14ac:dyDescent="0.25">
      <c r="A4200" s="631"/>
    </row>
    <row r="4201" spans="1:1" x14ac:dyDescent="0.25">
      <c r="A4201" s="631"/>
    </row>
    <row r="4202" spans="1:1" x14ac:dyDescent="0.25">
      <c r="A4202" s="631"/>
    </row>
    <row r="4203" spans="1:1" x14ac:dyDescent="0.25">
      <c r="A4203" s="631"/>
    </row>
    <row r="4204" spans="1:1" x14ac:dyDescent="0.25">
      <c r="A4204" s="631"/>
    </row>
    <row r="4205" spans="1:1" x14ac:dyDescent="0.25">
      <c r="A4205" s="631"/>
    </row>
    <row r="4206" spans="1:1" x14ac:dyDescent="0.25">
      <c r="A4206" s="631"/>
    </row>
    <row r="4207" spans="1:1" x14ac:dyDescent="0.25">
      <c r="A4207" s="631"/>
    </row>
    <row r="4208" spans="1:1" x14ac:dyDescent="0.25">
      <c r="A4208" s="631"/>
    </row>
    <row r="4209" spans="1:1" x14ac:dyDescent="0.25">
      <c r="A4209" s="631"/>
    </row>
    <row r="4210" spans="1:1" x14ac:dyDescent="0.25">
      <c r="A4210" s="631"/>
    </row>
    <row r="4211" spans="1:1" x14ac:dyDescent="0.25">
      <c r="A4211" s="631"/>
    </row>
    <row r="4212" spans="1:1" x14ac:dyDescent="0.25">
      <c r="A4212" s="631"/>
    </row>
    <row r="4213" spans="1:1" x14ac:dyDescent="0.25">
      <c r="A4213" s="631"/>
    </row>
    <row r="4214" spans="1:1" x14ac:dyDescent="0.25">
      <c r="A4214" s="631"/>
    </row>
    <row r="4215" spans="1:1" x14ac:dyDescent="0.25">
      <c r="A4215" s="631"/>
    </row>
    <row r="4216" spans="1:1" x14ac:dyDescent="0.25">
      <c r="A4216" s="631"/>
    </row>
    <row r="4217" spans="1:1" x14ac:dyDescent="0.25">
      <c r="A4217" s="631"/>
    </row>
    <row r="4218" spans="1:1" x14ac:dyDescent="0.25">
      <c r="A4218" s="631"/>
    </row>
    <row r="4219" spans="1:1" x14ac:dyDescent="0.25">
      <c r="A4219" s="631"/>
    </row>
    <row r="4220" spans="1:1" x14ac:dyDescent="0.25">
      <c r="A4220" s="631"/>
    </row>
    <row r="4221" spans="1:1" x14ac:dyDescent="0.25">
      <c r="A4221" s="631"/>
    </row>
    <row r="4222" spans="1:1" x14ac:dyDescent="0.25">
      <c r="A4222" s="631"/>
    </row>
    <row r="4223" spans="1:1" x14ac:dyDescent="0.25">
      <c r="A4223" s="631"/>
    </row>
    <row r="4224" spans="1:1" x14ac:dyDescent="0.25">
      <c r="A4224" s="631"/>
    </row>
    <row r="4225" spans="1:1" x14ac:dyDescent="0.25">
      <c r="A4225" s="631"/>
    </row>
    <row r="4226" spans="1:1" x14ac:dyDescent="0.25">
      <c r="A4226" s="631"/>
    </row>
    <row r="4227" spans="1:1" x14ac:dyDescent="0.25">
      <c r="A4227" s="631"/>
    </row>
    <row r="4228" spans="1:1" x14ac:dyDescent="0.25">
      <c r="A4228" s="631"/>
    </row>
    <row r="4229" spans="1:1" x14ac:dyDescent="0.25">
      <c r="A4229" s="631"/>
    </row>
    <row r="4230" spans="1:1" x14ac:dyDescent="0.25">
      <c r="A4230" s="631"/>
    </row>
    <row r="4231" spans="1:1" x14ac:dyDescent="0.25">
      <c r="A4231" s="631"/>
    </row>
    <row r="4232" spans="1:1" x14ac:dyDescent="0.25">
      <c r="A4232" s="631"/>
    </row>
    <row r="4233" spans="1:1" x14ac:dyDescent="0.25">
      <c r="A4233" s="631"/>
    </row>
    <row r="4234" spans="1:1" x14ac:dyDescent="0.25">
      <c r="A4234" s="631"/>
    </row>
    <row r="4235" spans="1:1" x14ac:dyDescent="0.25">
      <c r="A4235" s="631"/>
    </row>
    <row r="4236" spans="1:1" x14ac:dyDescent="0.25">
      <c r="A4236" s="631"/>
    </row>
    <row r="4237" spans="1:1" x14ac:dyDescent="0.25">
      <c r="A4237" s="631"/>
    </row>
    <row r="4238" spans="1:1" x14ac:dyDescent="0.25">
      <c r="A4238" s="631"/>
    </row>
    <row r="4239" spans="1:1" x14ac:dyDescent="0.25">
      <c r="A4239" s="631"/>
    </row>
    <row r="4240" spans="1:1" x14ac:dyDescent="0.25">
      <c r="A4240" s="631"/>
    </row>
    <row r="4241" spans="1:1" x14ac:dyDescent="0.25">
      <c r="A4241" s="631"/>
    </row>
    <row r="4242" spans="1:1" x14ac:dyDescent="0.25">
      <c r="A4242" s="631"/>
    </row>
    <row r="4243" spans="1:1" x14ac:dyDescent="0.25">
      <c r="A4243" s="631"/>
    </row>
    <row r="4244" spans="1:1" x14ac:dyDescent="0.25">
      <c r="A4244" s="631"/>
    </row>
    <row r="4245" spans="1:1" x14ac:dyDescent="0.25">
      <c r="A4245" s="631"/>
    </row>
    <row r="4246" spans="1:1" x14ac:dyDescent="0.25">
      <c r="A4246" s="631"/>
    </row>
    <row r="4247" spans="1:1" x14ac:dyDescent="0.25">
      <c r="A4247" s="631"/>
    </row>
    <row r="4248" spans="1:1" x14ac:dyDescent="0.25">
      <c r="A4248" s="631"/>
    </row>
    <row r="4249" spans="1:1" x14ac:dyDescent="0.25">
      <c r="A4249" s="631"/>
    </row>
    <row r="4250" spans="1:1" x14ac:dyDescent="0.25">
      <c r="A4250" s="631"/>
    </row>
    <row r="4251" spans="1:1" x14ac:dyDescent="0.25">
      <c r="A4251" s="631"/>
    </row>
    <row r="4252" spans="1:1" x14ac:dyDescent="0.25">
      <c r="A4252" s="631"/>
    </row>
    <row r="4253" spans="1:1" x14ac:dyDescent="0.25">
      <c r="A4253" s="631"/>
    </row>
    <row r="4254" spans="1:1" x14ac:dyDescent="0.25">
      <c r="A4254" s="631"/>
    </row>
    <row r="4255" spans="1:1" x14ac:dyDescent="0.25">
      <c r="A4255" s="631"/>
    </row>
    <row r="4256" spans="1:1" x14ac:dyDescent="0.25">
      <c r="A4256" s="631"/>
    </row>
    <row r="4257" spans="1:1" x14ac:dyDescent="0.25">
      <c r="A4257" s="631"/>
    </row>
    <row r="4258" spans="1:1" x14ac:dyDescent="0.25">
      <c r="A4258" s="631"/>
    </row>
  </sheetData>
  <sheetProtection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8DA71-30C5-405B-826C-DAC58DC7EE97}">
  <sheetPr codeName="Sheet7"/>
  <dimension ref="A1:X173"/>
  <sheetViews>
    <sheetView zoomScaleNormal="100" workbookViewId="0">
      <pane ySplit="1" topLeftCell="A2" activePane="bottomLeft" state="frozen"/>
      <selection activeCell="L138" sqref="L138"/>
      <selection pane="bottomLeft" activeCell="G22" sqref="G22"/>
    </sheetView>
  </sheetViews>
  <sheetFormatPr defaultRowHeight="15.75" x14ac:dyDescent="0.25"/>
  <cols>
    <col min="1" max="1" width="29.140625" customWidth="1"/>
    <col min="2" max="2" width="15.7109375" customWidth="1"/>
    <col min="3" max="3" width="10.85546875" style="1" bestFit="1" customWidth="1"/>
    <col min="4" max="4" width="9.140625" style="117"/>
    <col min="5" max="5" width="13.85546875" style="2" bestFit="1" customWidth="1"/>
    <col min="6" max="6" width="7.7109375" style="437" customWidth="1"/>
    <col min="7" max="7" width="22.5703125" style="64" customWidth="1"/>
    <col min="8" max="8" width="11" customWidth="1"/>
    <col min="9" max="9" width="7.7109375" customWidth="1"/>
    <col min="12" max="12" width="23.7109375" bestFit="1" customWidth="1"/>
  </cols>
  <sheetData>
    <row r="1" spans="1:16" x14ac:dyDescent="0.25">
      <c r="B1" s="34" t="s">
        <v>51</v>
      </c>
      <c r="C1" s="188"/>
      <c r="D1" s="479" t="s">
        <v>155</v>
      </c>
      <c r="E1" s="110" t="s">
        <v>52</v>
      </c>
      <c r="F1" s="427" t="s">
        <v>65</v>
      </c>
      <c r="H1" s="162"/>
      <c r="I1" s="746"/>
      <c r="J1" s="162"/>
      <c r="K1" s="162"/>
      <c r="L1" s="162"/>
      <c r="M1" s="162"/>
      <c r="N1" s="162"/>
      <c r="O1" s="162"/>
      <c r="P1" s="162"/>
    </row>
    <row r="2" spans="1:16" x14ac:dyDescent="0.25">
      <c r="A2" s="200" t="s">
        <v>70</v>
      </c>
      <c r="B2" s="201"/>
      <c r="C2" s="421"/>
      <c r="D2" s="202"/>
      <c r="E2" s="203"/>
      <c r="F2" s="428">
        <v>4</v>
      </c>
      <c r="I2" s="162" t="s">
        <v>69</v>
      </c>
      <c r="J2" s="193"/>
      <c r="K2" s="193">
        <v>33</v>
      </c>
      <c r="L2" s="193">
        <v>36</v>
      </c>
      <c r="M2" s="193">
        <v>39</v>
      </c>
      <c r="N2" s="193">
        <v>42</v>
      </c>
      <c r="O2" s="193">
        <v>45</v>
      </c>
      <c r="P2" s="194">
        <v>50</v>
      </c>
    </row>
    <row r="3" spans="1:16" x14ac:dyDescent="0.25">
      <c r="A3" s="159" t="str">
        <f>Language!B850</f>
        <v>S3 Swing</v>
      </c>
      <c r="B3" s="1" cm="1">
        <f t="array" ref="B3">_xlfn.SWITCH(F16,1,(0),2,(L3),3,(N3),4,(O3),5,(M3),6,(P3),7,(0),8,(P3),9,(0),)</f>
        <v>0</v>
      </c>
      <c r="C3" s="769">
        <v>1</v>
      </c>
      <c r="D3" s="479">
        <v>3480</v>
      </c>
      <c r="E3" s="2" t="str">
        <f>547&amp;G24&amp;G4&amp;G4&amp;G14</f>
        <v xml:space="preserve">54700 </v>
      </c>
      <c r="F3" s="430"/>
      <c r="G3" s="718" t="str" cm="1">
        <f t="array" ref="G3">_xlfn.SWITCH(F2,1,(A3),2,(A6),3,(A4),4,(""),5,(A7),)</f>
        <v/>
      </c>
      <c r="H3" t="s">
        <v>125</v>
      </c>
      <c r="I3" s="195"/>
      <c r="J3" s="1"/>
      <c r="K3" s="1"/>
      <c r="L3" s="1">
        <v>2092</v>
      </c>
      <c r="M3" s="1">
        <v>2196</v>
      </c>
      <c r="N3" s="1">
        <v>2290</v>
      </c>
      <c r="O3" s="1">
        <v>2546</v>
      </c>
      <c r="P3" s="196">
        <v>3006</v>
      </c>
    </row>
    <row r="4" spans="1:16" x14ac:dyDescent="0.25">
      <c r="A4" s="159" t="str">
        <f>Language!B851</f>
        <v>S3 Swing Kort</v>
      </c>
      <c r="B4" s="1" cm="1">
        <f t="array" ref="B4">_xlfn.SWITCH(F16,1,(K4),2,(L4),3,(K3),4,(L4),5,(M4),6,(O4),7,(M4),8,(0),9,(0),)</f>
        <v>2426</v>
      </c>
      <c r="C4" s="769">
        <v>3</v>
      </c>
      <c r="D4" s="479">
        <v>3480</v>
      </c>
      <c r="E4" s="2" t="str">
        <f>553&amp;G24&amp;G4&amp;G4&amp;G14</f>
        <v xml:space="preserve">55300 </v>
      </c>
      <c r="F4" s="430"/>
      <c r="G4" s="207">
        <v>0</v>
      </c>
      <c r="I4" s="197"/>
      <c r="J4" s="198"/>
      <c r="K4" s="198">
        <v>2023</v>
      </c>
      <c r="L4" s="198">
        <v>2111</v>
      </c>
      <c r="M4" s="198">
        <v>2426</v>
      </c>
      <c r="N4" s="198"/>
      <c r="O4" s="198"/>
      <c r="P4" s="199"/>
    </row>
    <row r="5" spans="1:16" x14ac:dyDescent="0.25">
      <c r="A5" s="159" t="str">
        <f>Language!B852</f>
        <v>S3 Swing Låg 0°</v>
      </c>
      <c r="B5" s="1" cm="1">
        <f t="array" ref="B5">_xlfn.SWITCH(F16,1,(0),2,(0),3,(N5),4,(O5),5,(M5),6,(P5),7,(M5),8,(0),9,(0),)</f>
        <v>2345</v>
      </c>
      <c r="C5" s="769">
        <v>2</v>
      </c>
      <c r="D5" s="479">
        <v>4748</v>
      </c>
      <c r="E5" s="2" t="str">
        <f>58370&amp;G24&amp;H11</f>
        <v>58370GP</v>
      </c>
      <c r="F5" s="430"/>
      <c r="G5" s="207" cm="1">
        <f t="array" ref="G5">_xlfn.SWITCH(F2,1,(B3),2,(B5),3,(B6),4,(B7),5,(B6),6,(B8),7,(B9),8,(0),9,(0),)</f>
        <v>0</v>
      </c>
      <c r="H5" t="s">
        <v>69</v>
      </c>
      <c r="I5" s="197"/>
      <c r="J5" s="198"/>
      <c r="K5" s="198"/>
      <c r="L5" s="198"/>
      <c r="M5" s="198">
        <v>2345</v>
      </c>
      <c r="N5" s="198">
        <v>2439</v>
      </c>
      <c r="O5" s="198">
        <v>2555</v>
      </c>
      <c r="P5" s="199">
        <v>3052</v>
      </c>
    </row>
    <row r="6" spans="1:16" x14ac:dyDescent="0.25">
      <c r="A6" s="159" t="str">
        <f>Language!B853</f>
        <v>S3 Swing Lång</v>
      </c>
      <c r="B6" s="1" cm="1">
        <f t="array" ref="B6">_xlfn.SWITCH(F16,1,(0),2,(L6),3,(N6),4,(O6),5,(M6),6,(P6),7,(M6),8,(P6),9,(0),)</f>
        <v>2345</v>
      </c>
      <c r="C6" s="769">
        <v>5</v>
      </c>
      <c r="D6" s="479">
        <v>4748</v>
      </c>
      <c r="E6" s="2" t="str">
        <f>58181&amp;G24&amp;H11</f>
        <v>58181GP</v>
      </c>
      <c r="F6" s="430"/>
      <c r="I6" s="197"/>
      <c r="J6" s="198"/>
      <c r="K6" s="198"/>
      <c r="L6" s="198">
        <v>2231</v>
      </c>
      <c r="M6" s="198">
        <v>2345</v>
      </c>
      <c r="N6" s="198">
        <v>2439</v>
      </c>
      <c r="O6" s="198">
        <v>2555</v>
      </c>
      <c r="P6" s="199">
        <v>3052</v>
      </c>
    </row>
    <row r="7" spans="1:16" x14ac:dyDescent="0.25">
      <c r="A7" s="159"/>
      <c r="B7" s="1"/>
      <c r="C7" s="769"/>
      <c r="D7" s="479"/>
      <c r="F7" s="430"/>
      <c r="G7" s="207" cm="1">
        <f t="array" ref="G7">_xlfn.SWITCH(F2,1,(D3),2,(D5),3,(D6),4,(D7),5,(D4),6,(D8),7,(D9),8,(0),9,(" "),)</f>
        <v>0</v>
      </c>
      <c r="H7" t="s">
        <v>43</v>
      </c>
      <c r="I7" s="197"/>
      <c r="J7" s="198"/>
      <c r="K7" s="198"/>
      <c r="L7" s="198"/>
      <c r="M7" s="198"/>
      <c r="N7" s="198"/>
      <c r="O7" s="198"/>
      <c r="P7" s="199"/>
    </row>
    <row r="8" spans="1:16" x14ac:dyDescent="0.25">
      <c r="A8" s="159"/>
      <c r="B8" s="1"/>
      <c r="C8" s="769"/>
      <c r="D8" s="479"/>
      <c r="F8" s="430"/>
      <c r="I8" s="197"/>
      <c r="J8" s="198"/>
      <c r="K8" s="198"/>
      <c r="L8" s="198"/>
      <c r="M8" s="198"/>
      <c r="N8" s="198"/>
      <c r="O8" s="198"/>
      <c r="P8" s="199"/>
    </row>
    <row r="9" spans="1:16" x14ac:dyDescent="0.25">
      <c r="A9" s="159"/>
      <c r="B9" s="1"/>
      <c r="C9" s="769"/>
      <c r="D9" s="479"/>
      <c r="F9" s="430"/>
      <c r="G9" s="718" t="str" cm="1">
        <f t="array" ref="G9">_xlfn.SWITCH(F2,1,(E3),2,(E5),3,(E4),4,(""),5,(E6),6,(E8),7,(E9),8,(""),9,(" "),)</f>
        <v/>
      </c>
      <c r="H9" t="s">
        <v>52</v>
      </c>
      <c r="I9" s="748"/>
      <c r="J9" s="749"/>
      <c r="K9" s="749"/>
      <c r="L9" s="749"/>
      <c r="M9" s="749"/>
      <c r="N9" s="749"/>
      <c r="O9" s="749"/>
      <c r="P9" s="750"/>
    </row>
    <row r="10" spans="1:16" x14ac:dyDescent="0.25">
      <c r="A10" s="159"/>
      <c r="B10" s="189">
        <f>G5</f>
        <v>0</v>
      </c>
      <c r="C10" s="787">
        <v>4</v>
      </c>
      <c r="D10" s="725">
        <f>G7</f>
        <v>0</v>
      </c>
      <c r="E10" s="163" t="str">
        <f>G9</f>
        <v/>
      </c>
      <c r="F10" s="430"/>
    </row>
    <row r="11" spans="1:16" x14ac:dyDescent="0.25">
      <c r="A11" s="200" t="s">
        <v>71</v>
      </c>
      <c r="B11" s="93"/>
      <c r="C11" s="204"/>
      <c r="D11" s="202"/>
      <c r="E11" s="205"/>
      <c r="F11" s="428">
        <v>3</v>
      </c>
      <c r="G11" s="179"/>
      <c r="H11" s="207" t="s">
        <v>155</v>
      </c>
    </row>
    <row r="12" spans="1:16" x14ac:dyDescent="0.25">
      <c r="A12" s="2" t="str">
        <f>Language!B855</f>
        <v>Svart - Anodic Black</v>
      </c>
      <c r="B12" s="188">
        <v>0</v>
      </c>
      <c r="C12" s="188"/>
      <c r="D12" s="715">
        <v>0</v>
      </c>
      <c r="E12" s="118">
        <v>9930011</v>
      </c>
      <c r="F12" s="430"/>
      <c r="G12" s="720" t="str" cm="1">
        <f t="array" ref="G12">_xlfn.SWITCH(F11,1,(A12),2,(A13),3,(""),4,(A14),5,(""),6,(""),7,(0),8,(""),)</f>
        <v/>
      </c>
      <c r="H12" s="207" t="s">
        <v>53</v>
      </c>
      <c r="I12" s="212" t="s">
        <v>125</v>
      </c>
    </row>
    <row r="13" spans="1:16" x14ac:dyDescent="0.25">
      <c r="A13" s="2" t="str">
        <f>Language!B856</f>
        <v>Grå - Gray Metallic</v>
      </c>
      <c r="B13" s="188">
        <v>0</v>
      </c>
      <c r="C13" s="188"/>
      <c r="D13" s="715">
        <v>0</v>
      </c>
      <c r="E13" s="118">
        <v>9930002</v>
      </c>
      <c r="F13" s="431"/>
      <c r="G13" s="721" cm="1">
        <f t="array" ref="G13">_xlfn.SWITCH(F11,1,(0),2,(0),3,(0),4,(C14),5,(0),6,(0),7,(0),8,0,)</f>
        <v>0</v>
      </c>
      <c r="H13" s="207" t="s">
        <v>54</v>
      </c>
      <c r="I13" s="212" t="s">
        <v>43</v>
      </c>
    </row>
    <row r="14" spans="1:16" x14ac:dyDescent="0.25">
      <c r="A14" s="2" t="str">
        <f>Language!B857</f>
        <v>Övrigt</v>
      </c>
      <c r="B14" s="188">
        <v>0</v>
      </c>
      <c r="D14" s="715">
        <v>0</v>
      </c>
      <c r="E14" s="2">
        <f>'S3 Swing models'!F31</f>
        <v>0</v>
      </c>
      <c r="F14" s="431"/>
      <c r="G14" s="718" t="str" cm="1">
        <f t="array" ref="G14">_xlfn.SWITCH(F11,1,(H12),2,(H13),3,(" "),4,(H11),5,(0),6,(0),7,(0),8,0,)</f>
        <v xml:space="preserve"> </v>
      </c>
      <c r="H14" s="212" t="s">
        <v>127</v>
      </c>
    </row>
    <row r="15" spans="1:16" x14ac:dyDescent="0.25">
      <c r="A15" s="2"/>
      <c r="B15" s="189">
        <v>0</v>
      </c>
      <c r="C15" s="751"/>
      <c r="D15" s="725">
        <f>G13</f>
        <v>0</v>
      </c>
      <c r="E15" s="163" t="str">
        <f>G15</f>
        <v/>
      </c>
      <c r="F15" s="431"/>
      <c r="G15" s="718" t="str" cm="1">
        <f t="array" ref="G15">_xlfn.SWITCH(F11,1,(E12),2,(E13),3,(""),4,(E14),5,(0),6,(0),7,(0),8,0,)</f>
        <v/>
      </c>
      <c r="H15" s="212" t="s">
        <v>52</v>
      </c>
    </row>
    <row r="16" spans="1:16" x14ac:dyDescent="0.25">
      <c r="A16" s="200" t="s">
        <v>113</v>
      </c>
      <c r="B16" s="93"/>
      <c r="C16" s="204"/>
      <c r="D16" s="202"/>
      <c r="E16" s="203"/>
      <c r="F16" s="428">
        <v>7</v>
      </c>
      <c r="G16" s="179"/>
    </row>
    <row r="17" spans="1:11" x14ac:dyDescent="0.25">
      <c r="A17" s="2"/>
      <c r="F17" s="430"/>
      <c r="G17" s="179"/>
    </row>
    <row r="18" spans="1:11" x14ac:dyDescent="0.25">
      <c r="A18" s="2"/>
      <c r="F18" s="430"/>
      <c r="G18" s="179"/>
    </row>
    <row r="19" spans="1:11" x14ac:dyDescent="0.25">
      <c r="A19" s="2">
        <v>33</v>
      </c>
      <c r="F19" s="430"/>
      <c r="G19" s="180"/>
    </row>
    <row r="20" spans="1:11" x14ac:dyDescent="0.25">
      <c r="A20" s="2">
        <v>36</v>
      </c>
      <c r="F20" s="430"/>
      <c r="G20" s="180"/>
    </row>
    <row r="21" spans="1:11" x14ac:dyDescent="0.25">
      <c r="A21" s="2">
        <v>39</v>
      </c>
      <c r="E21" s="14"/>
      <c r="F21" s="430"/>
      <c r="G21" s="180"/>
    </row>
    <row r="22" spans="1:11" x14ac:dyDescent="0.25">
      <c r="A22" s="2">
        <v>42</v>
      </c>
      <c r="E22" s="14"/>
      <c r="F22" s="430"/>
      <c r="G22" s="718" t="str" cm="1">
        <f t="array" ref="G22">_xlfn.SWITCH(F2,1,("36-50 cm"),2,("39-50 cm"),3,("33-39 cm"),4,(""),5,("36-50 cm"),6,("33-50 cm"),7,("33-59 cm"),8,(""),)</f>
        <v/>
      </c>
      <c r="H22" s="423" t="s">
        <v>147</v>
      </c>
      <c r="I22" s="423"/>
    </row>
    <row r="23" spans="1:11" x14ac:dyDescent="0.25">
      <c r="A23" s="2">
        <v>45</v>
      </c>
      <c r="E23" s="14"/>
      <c r="F23" s="430"/>
      <c r="G23" s="718">
        <v>0</v>
      </c>
    </row>
    <row r="24" spans="1:11" x14ac:dyDescent="0.25">
      <c r="A24" s="2">
        <v>50</v>
      </c>
      <c r="E24" s="2">
        <v>36</v>
      </c>
      <c r="F24" s="430"/>
      <c r="G24" s="718" t="str" cm="1">
        <f t="array" ref="G24">_xlfn.SWITCH(F16,1,(A19),2,(A20),3,(A22),4,(A23),5,(A21),6,(A24),7,(""),8,(A24),9,(" "),)</f>
        <v/>
      </c>
      <c r="H24" s="423" t="s">
        <v>132</v>
      </c>
      <c r="J24" t="str" cm="1">
        <f t="array" ref="J24">_xlfn.SWITCH(F16,1,(33),2,(36),3,(42),4,(45),5,(39),6,(50),7,(""),8,(45),9,(" "),)</f>
        <v/>
      </c>
    </row>
    <row r="25" spans="1:11" x14ac:dyDescent="0.25">
      <c r="A25" s="2"/>
      <c r="B25" s="190">
        <v>0</v>
      </c>
      <c r="D25" s="724">
        <v>0</v>
      </c>
      <c r="E25" s="163" t="str">
        <f>G24</f>
        <v/>
      </c>
      <c r="F25" s="430"/>
      <c r="G25" s="180"/>
    </row>
    <row r="26" spans="1:11" x14ac:dyDescent="0.25">
      <c r="A26" s="200" t="s">
        <v>135</v>
      </c>
      <c r="B26" s="93"/>
      <c r="C26" s="204"/>
      <c r="D26" s="202"/>
      <c r="E26" s="203"/>
      <c r="F26" s="428">
        <v>6</v>
      </c>
      <c r="G26" s="180"/>
    </row>
    <row r="27" spans="1:11" ht="15" x14ac:dyDescent="0.25">
      <c r="A27" s="2"/>
      <c r="B27" s="1"/>
      <c r="C27"/>
      <c r="D27"/>
      <c r="E27"/>
      <c r="F27" s="432"/>
      <c r="G27" s="180"/>
      <c r="K27" s="212" t="s">
        <v>69</v>
      </c>
    </row>
    <row r="28" spans="1:11" x14ac:dyDescent="0.25">
      <c r="A28" s="2">
        <v>35</v>
      </c>
      <c r="B28" s="1">
        <v>0</v>
      </c>
      <c r="F28" s="430"/>
      <c r="G28" s="178" cm="1">
        <f t="array" ref="G28">_xlfn.SWITCH(F26,1,(B28),2,(B29),3,(B30),4,(B31),5,(B32),6,(B27),7,(B32),)</f>
        <v>0</v>
      </c>
      <c r="H28" s="212" t="s">
        <v>69</v>
      </c>
      <c r="K28" s="190">
        <v>200</v>
      </c>
    </row>
    <row r="29" spans="1:11" x14ac:dyDescent="0.25">
      <c r="A29" s="2" t="s">
        <v>136</v>
      </c>
      <c r="B29" s="1">
        <v>0</v>
      </c>
      <c r="F29" s="430"/>
      <c r="G29" s="180"/>
      <c r="K29" s="190">
        <v>215</v>
      </c>
    </row>
    <row r="30" spans="1:11" x14ac:dyDescent="0.25">
      <c r="A30" s="2">
        <v>40</v>
      </c>
      <c r="B30" s="1">
        <v>0</v>
      </c>
      <c r="F30" s="430"/>
      <c r="G30" s="178" t="str" cm="1">
        <f t="array" ref="G30">_xlfn.SWITCH(F2,1,("40 cm"),2,("35, 37.5, 40  (45 cm; 37.5, 40) (50 cm, 35)"),3,("35 cm"),4,(""),5,("27-33 cm (seat width 30-33), 35 cm (seat width 36-45)"),6,("35, 37.5, 40, 42.5 cm"),7,("27-33 cm"),8,(""),)</f>
        <v/>
      </c>
      <c r="H30" s="423" t="s">
        <v>148</v>
      </c>
      <c r="I30" s="423"/>
      <c r="K30" s="190">
        <v>230</v>
      </c>
    </row>
    <row r="31" spans="1:11" x14ac:dyDescent="0.25">
      <c r="A31" s="2" t="s">
        <v>137</v>
      </c>
      <c r="B31" s="1">
        <v>0</v>
      </c>
      <c r="F31" s="430"/>
      <c r="G31" s="180"/>
      <c r="K31" s="190">
        <v>245</v>
      </c>
    </row>
    <row r="32" spans="1:11" x14ac:dyDescent="0.25">
      <c r="A32" s="2">
        <v>45</v>
      </c>
      <c r="B32" s="1">
        <v>0</v>
      </c>
      <c r="E32" s="2" t="str">
        <f>G32</f>
        <v/>
      </c>
      <c r="F32" s="430"/>
      <c r="G32" s="178" t="str" cm="1">
        <f t="array" ref="G32">_xlfn.SWITCH(F26,1,(A28),2,(A29),3,(A30),4,(A31),5,(A32),6,(""),7,(A32),)</f>
        <v/>
      </c>
      <c r="H32" s="423" t="s">
        <v>138</v>
      </c>
      <c r="K32" s="190">
        <v>260</v>
      </c>
    </row>
    <row r="33" spans="1:24" x14ac:dyDescent="0.25">
      <c r="A33" s="2"/>
      <c r="B33" s="190">
        <f>G28</f>
        <v>0</v>
      </c>
      <c r="D33" s="725">
        <v>0</v>
      </c>
      <c r="F33" s="430"/>
      <c r="G33" s="180"/>
      <c r="H33" s="423"/>
    </row>
    <row r="34" spans="1:24" x14ac:dyDescent="0.25">
      <c r="A34" s="200" t="s">
        <v>139</v>
      </c>
      <c r="B34" s="93"/>
      <c r="C34" s="204"/>
      <c r="D34" s="202"/>
      <c r="E34" s="205"/>
      <c r="F34" s="428">
        <v>8</v>
      </c>
    </row>
    <row r="35" spans="1:24" x14ac:dyDescent="0.25">
      <c r="A35" s="2" t="str">
        <f>Language!B861</f>
        <v>Standard</v>
      </c>
      <c r="B35" s="1">
        <v>722</v>
      </c>
      <c r="C35" s="117"/>
      <c r="D35" s="715">
        <v>2270</v>
      </c>
      <c r="E35" s="2" t="str">
        <f>523&amp;G24&amp;G50&amp;G36</f>
        <v>523 VER2</v>
      </c>
      <c r="F35" s="430"/>
      <c r="G35" s="267" t="str" cm="1">
        <f t="array" ref="G35">_xlfn.SWITCH(F34,1,(A41),2,(A36),3,(A37),4,(A39),5,(A38),6,(A40),7,(A35),8,(""),9,(A41),)</f>
        <v/>
      </c>
      <c r="H35" s="212" t="s">
        <v>125</v>
      </c>
      <c r="I35" s="34" t="s">
        <v>112</v>
      </c>
      <c r="N35" s="34" t="s">
        <v>112</v>
      </c>
      <c r="S35" s="34" t="s">
        <v>112</v>
      </c>
    </row>
    <row r="36" spans="1:24" x14ac:dyDescent="0.25">
      <c r="A36" s="2" t="str">
        <f>Language!B862</f>
        <v>Insvängd</v>
      </c>
      <c r="B36" s="1">
        <v>900</v>
      </c>
      <c r="C36" s="117"/>
      <c r="D36" s="715">
        <v>4464</v>
      </c>
      <c r="E36" s="2" t="str">
        <f>525&amp;G24&amp;G50&amp;G36</f>
        <v>525 VER2</v>
      </c>
      <c r="F36" s="430"/>
      <c r="G36" s="64" t="s">
        <v>61</v>
      </c>
      <c r="I36" s="183" t="e" cm="1">
        <f t="array" ref="I36">_xlfn.XLOOKUP(E25,J40:M40,_xlfn.XLOOKUP(E51,I41:I43,J41:M43))</f>
        <v>#N/A</v>
      </c>
      <c r="N36" s="183" t="e" cm="1">
        <f t="array" ref="N36">_xlfn.XLOOKUP(E25,O40:R40,_xlfn.XLOOKUP(E51,N41:N44,O41:R44))</f>
        <v>#N/A</v>
      </c>
      <c r="S36" s="183" t="e" cm="1">
        <f t="array" ref="S36">_xlfn.XLOOKUP(E25,T40:X40,_xlfn.XLOOKUP(E51,S41:S42,T41:X42))</f>
        <v>#N/A</v>
      </c>
    </row>
    <row r="37" spans="1:24" x14ac:dyDescent="0.25">
      <c r="A37" s="2" t="str">
        <f>Language!B863</f>
        <v>Bakåtbockad</v>
      </c>
      <c r="B37" s="1">
        <v>950</v>
      </c>
      <c r="C37" s="117"/>
      <c r="D37" s="715">
        <v>4464</v>
      </c>
      <c r="E37" s="2" t="str">
        <f>524&amp;G24&amp;G50&amp;G36</f>
        <v>524 VER2</v>
      </c>
      <c r="F37" s="430"/>
      <c r="I37" s="223" t="s">
        <v>74</v>
      </c>
      <c r="J37" s="224"/>
      <c r="K37" s="223" t="s">
        <v>75</v>
      </c>
      <c r="L37" s="224"/>
      <c r="M37" s="223"/>
      <c r="N37" s="223" t="s">
        <v>74</v>
      </c>
      <c r="O37" s="224"/>
      <c r="P37" s="223" t="s">
        <v>75</v>
      </c>
      <c r="Q37" s="224"/>
      <c r="R37" s="223"/>
      <c r="S37" s="223" t="s">
        <v>74</v>
      </c>
      <c r="T37" s="224"/>
      <c r="U37" s="223" t="s">
        <v>75</v>
      </c>
      <c r="V37" s="224"/>
      <c r="W37" s="224"/>
    </row>
    <row r="38" spans="1:24" x14ac:dyDescent="0.25">
      <c r="A38" s="2" t="str">
        <f>Language!B864</f>
        <v>Fasta ryggsystem</v>
      </c>
      <c r="B38" s="1">
        <v>700</v>
      </c>
      <c r="C38" s="117"/>
      <c r="D38" s="715">
        <v>3629</v>
      </c>
      <c r="E38" s="2" t="str">
        <f>71105&amp;G24</f>
        <v>71105</v>
      </c>
      <c r="F38" s="430"/>
      <c r="G38" s="182" cm="1">
        <f t="array" ref="G38">_xlfn.SWITCH(F34,1,(B41),2,(B36),3,(B37),4,(B39),5,(B38),6,(B40),7,(B35),8,(0),9,B41)</f>
        <v>0</v>
      </c>
      <c r="H38" s="212" t="s">
        <v>69</v>
      </c>
      <c r="I38" s="271" t="s">
        <v>62</v>
      </c>
      <c r="J38" s="227"/>
      <c r="K38" s="197" t="s">
        <v>62</v>
      </c>
      <c r="L38" s="227"/>
      <c r="M38" s="197"/>
      <c r="N38" s="271" t="s">
        <v>63</v>
      </c>
      <c r="O38" s="227"/>
      <c r="P38" s="197" t="s">
        <v>63</v>
      </c>
      <c r="Q38" s="227"/>
      <c r="R38" s="197"/>
      <c r="S38" s="197" t="s">
        <v>111</v>
      </c>
      <c r="T38" s="227"/>
      <c r="U38" s="197" t="s">
        <v>111</v>
      </c>
      <c r="V38" s="227"/>
      <c r="W38" s="227"/>
    </row>
    <row r="39" spans="1:24" x14ac:dyDescent="0.25">
      <c r="A39" s="2" t="str">
        <f>Language!B865</f>
        <v>Insvängd 6 cm</v>
      </c>
      <c r="B39" s="1">
        <v>950</v>
      </c>
      <c r="C39" s="117"/>
      <c r="D39" s="715">
        <v>6089</v>
      </c>
      <c r="E39" s="2" t="e">
        <f>7110&amp;I36&amp;G36</f>
        <v>#N/A</v>
      </c>
      <c r="F39" s="430"/>
      <c r="I39" s="225" cm="1">
        <f t="array" ref="I39">_xlfn.SWITCH(F16,1,("N/A"),2,("N/A"),3,("N/A"),4,(26),5,(32),6,(35),7,(29),8,("N/A"),9,(" "),)</f>
        <v>29</v>
      </c>
      <c r="J39" s="226"/>
      <c r="K39" s="225" cm="1">
        <f t="array" ref="K39">_xlfn.SWITCH(F44,1,("N/A"),2,("N/A"),3,("N/A"),4,(I39),5,(27),6,(28),7,(29),8,("N/A"),9,(" "),)</f>
        <v>29</v>
      </c>
      <c r="L39" s="226"/>
      <c r="M39" s="197"/>
      <c r="N39" s="225" cm="1">
        <f t="array" ref="N39">_xlfn.SWITCH(K16,1,("N/A"),2,("N/A"),3,("N/A"),4,(26),5,(32),6,(35),7,(29),8,("N/A"),9,(" "),)</f>
        <v>0</v>
      </c>
      <c r="O39" s="226"/>
      <c r="P39" s="225" cm="1">
        <f t="array" ref="P39">_xlfn.SWITCH(K44,1,("N/A"),2,("N/A"),3,("N/A"),4,(N39),5,(27),6,(28),7,(29),8,("N/A"),9,(" "),)</f>
        <v>0</v>
      </c>
      <c r="Q39" s="226"/>
      <c r="R39" s="197"/>
      <c r="S39" s="225" cm="1">
        <f t="array" ref="S39">_xlfn.SWITCH(P16,1,("N/A"),2,("N/A"),3,("N/A"),4,(26),5,(32),6,(35),7,(29),8,("N/A"),9,(" "),)</f>
        <v>0</v>
      </c>
      <c r="T39" s="226"/>
      <c r="U39" s="225" cm="1">
        <f t="array" ref="U39">_xlfn.SWITCH(P44,1,("N/A"),2,("N/A"),3,("N/A"),4,(S39),5,(27),6,(28),7,(29),8,("N/A"),9,(" "),)</f>
        <v>0</v>
      </c>
      <c r="V39" s="226"/>
      <c r="W39" s="227"/>
    </row>
    <row r="40" spans="1:24" x14ac:dyDescent="0.25">
      <c r="A40" s="2" t="str">
        <f>Language!B866</f>
        <v>Utsvängd 3 cm</v>
      </c>
      <c r="B40" s="1">
        <v>925</v>
      </c>
      <c r="C40" s="117"/>
      <c r="D40" s="715">
        <v>6089</v>
      </c>
      <c r="E40" s="2" t="e">
        <f>7110&amp;N36&amp;G36</f>
        <v>#N/A</v>
      </c>
      <c r="F40" s="430"/>
      <c r="G40" s="182" cm="1">
        <f t="array" ref="G40">_xlfn.SWITCH(F34,1,(D41),2,(D36),3,(D37),4,(D39),5,(D38),6,(D40),7,(D35),8,(0),9,(D41),)</f>
        <v>0</v>
      </c>
      <c r="H40" s="212" t="s">
        <v>43</v>
      </c>
      <c r="I40" s="197"/>
      <c r="J40" s="34">
        <v>36</v>
      </c>
      <c r="K40" s="34">
        <v>39</v>
      </c>
      <c r="L40" s="34">
        <v>42</v>
      </c>
      <c r="M40" s="270">
        <v>45</v>
      </c>
      <c r="N40" s="197"/>
      <c r="O40" s="34">
        <v>33</v>
      </c>
      <c r="P40" s="34">
        <v>36</v>
      </c>
      <c r="Q40" s="34">
        <v>39</v>
      </c>
      <c r="R40" s="270">
        <v>42</v>
      </c>
      <c r="S40" s="197"/>
      <c r="T40" s="34">
        <v>33</v>
      </c>
      <c r="U40" s="34">
        <v>36</v>
      </c>
      <c r="V40" s="34">
        <v>39</v>
      </c>
      <c r="W40" s="34">
        <v>42</v>
      </c>
      <c r="X40" s="270">
        <v>45</v>
      </c>
    </row>
    <row r="41" spans="1:24" x14ac:dyDescent="0.25">
      <c r="A41" s="2" t="str">
        <f>Language!B867</f>
        <v>Bakåtb.-insvängd</v>
      </c>
      <c r="B41" s="1">
        <v>1000</v>
      </c>
      <c r="C41" s="117"/>
      <c r="D41" s="715">
        <v>6089</v>
      </c>
      <c r="E41" s="2" t="e">
        <f>7110&amp;S36&amp;G36</f>
        <v>#N/A</v>
      </c>
      <c r="F41" s="430"/>
      <c r="I41" s="271">
        <v>30</v>
      </c>
      <c r="J41">
        <v>626</v>
      </c>
      <c r="K41">
        <v>629</v>
      </c>
      <c r="L41">
        <v>632</v>
      </c>
      <c r="M41" s="227">
        <v>635</v>
      </c>
      <c r="N41" s="271">
        <v>25</v>
      </c>
      <c r="O41">
        <v>599</v>
      </c>
      <c r="P41">
        <v>603</v>
      </c>
      <c r="Q41">
        <v>607</v>
      </c>
      <c r="R41" s="227">
        <v>611</v>
      </c>
      <c r="S41" s="271">
        <v>35</v>
      </c>
      <c r="T41">
        <v>681</v>
      </c>
      <c r="U41">
        <v>682</v>
      </c>
      <c r="V41">
        <v>683</v>
      </c>
      <c r="W41">
        <v>684</v>
      </c>
      <c r="X41" s="227">
        <v>685</v>
      </c>
    </row>
    <row r="42" spans="1:24" x14ac:dyDescent="0.25">
      <c r="A42" s="2"/>
      <c r="B42" s="1"/>
      <c r="F42" s="430"/>
      <c r="G42" s="267" t="str" cm="1">
        <f t="array" ref="G42">_xlfn.SWITCH(F34,1,(E41),2,(E36),3,(E37),4,(E39),5,(E38),6,(E40),7,(E35),8,(""),9,E41)</f>
        <v/>
      </c>
      <c r="H42" s="212" t="s">
        <v>52</v>
      </c>
      <c r="I42" s="271">
        <v>35</v>
      </c>
      <c r="J42">
        <v>627</v>
      </c>
      <c r="K42">
        <v>630</v>
      </c>
      <c r="L42">
        <v>633</v>
      </c>
      <c r="M42" s="227">
        <v>636</v>
      </c>
      <c r="N42" s="271">
        <v>30</v>
      </c>
      <c r="O42">
        <v>600</v>
      </c>
      <c r="P42">
        <v>604</v>
      </c>
      <c r="Q42">
        <v>608</v>
      </c>
      <c r="R42" s="227">
        <v>612</v>
      </c>
      <c r="S42" s="272">
        <v>40</v>
      </c>
      <c r="T42" s="238">
        <v>686</v>
      </c>
      <c r="U42" s="238">
        <v>687</v>
      </c>
      <c r="V42" s="238">
        <v>688</v>
      </c>
      <c r="W42" s="238">
        <v>689</v>
      </c>
      <c r="X42" s="226">
        <v>690</v>
      </c>
    </row>
    <row r="43" spans="1:24" x14ac:dyDescent="0.25">
      <c r="A43" s="2"/>
      <c r="B43" s="189">
        <f>G38</f>
        <v>0</v>
      </c>
      <c r="C43" s="752"/>
      <c r="D43" s="725">
        <f>G40</f>
        <v>0</v>
      </c>
      <c r="E43" s="163" t="str">
        <f>G42</f>
        <v/>
      </c>
      <c r="F43" s="430"/>
      <c r="G43" s="182" t="str" cm="1">
        <f t="array" ref="G43">_xlfn.SWITCH(F34,1,(S46),2,(""),3,(""),4,(""),5,(""),6,(I46),7,(""),8,(""),9,E41)</f>
        <v/>
      </c>
      <c r="H43" t="s">
        <v>122</v>
      </c>
      <c r="I43" s="272">
        <v>40</v>
      </c>
      <c r="J43" s="238">
        <v>628</v>
      </c>
      <c r="K43" s="238">
        <v>631</v>
      </c>
      <c r="L43" s="238">
        <v>634</v>
      </c>
      <c r="M43" s="226">
        <v>637</v>
      </c>
      <c r="N43" s="271">
        <v>35</v>
      </c>
      <c r="O43">
        <v>601</v>
      </c>
      <c r="P43">
        <v>605</v>
      </c>
      <c r="Q43">
        <v>609</v>
      </c>
      <c r="R43" s="227">
        <v>613</v>
      </c>
    </row>
    <row r="44" spans="1:24" x14ac:dyDescent="0.25">
      <c r="A44" s="222" t="s">
        <v>140</v>
      </c>
      <c r="B44" s="204"/>
      <c r="C44" s="204"/>
      <c r="D44" s="202"/>
      <c r="E44" s="205"/>
      <c r="F44" s="428">
        <v>7</v>
      </c>
      <c r="N44" s="272">
        <v>40</v>
      </c>
      <c r="O44" s="238">
        <v>602</v>
      </c>
      <c r="P44" s="238">
        <v>606</v>
      </c>
      <c r="Q44" s="238">
        <v>610</v>
      </c>
      <c r="R44" s="226">
        <v>614</v>
      </c>
    </row>
    <row r="45" spans="1:24" x14ac:dyDescent="0.25">
      <c r="A45" s="2">
        <v>20</v>
      </c>
      <c r="B45" s="1">
        <v>0</v>
      </c>
      <c r="E45" s="2">
        <v>20</v>
      </c>
      <c r="F45" s="430"/>
      <c r="I45" s="34" t="s">
        <v>121</v>
      </c>
      <c r="J45" s="34"/>
      <c r="K45" s="34"/>
      <c r="L45" s="34"/>
      <c r="M45" s="34"/>
      <c r="N45" s="34" t="s">
        <v>121</v>
      </c>
      <c r="O45" s="34"/>
      <c r="P45" s="34"/>
      <c r="Q45" s="34"/>
      <c r="R45" s="34"/>
      <c r="S45" s="34" t="s">
        <v>121</v>
      </c>
    </row>
    <row r="46" spans="1:24" x14ac:dyDescent="0.25">
      <c r="A46" s="2">
        <v>25</v>
      </c>
      <c r="B46" s="1">
        <v>110</v>
      </c>
      <c r="E46" s="2">
        <v>25</v>
      </c>
      <c r="F46" s="430"/>
      <c r="G46" s="182" cm="1">
        <f t="array" ref="G46">_xlfn.SWITCH(F44,1,(B45),2,(B46),3,(B47),4,(B48),5,(B49),6,(B50),7,(0),8,0,23,(0),)</f>
        <v>0</v>
      </c>
      <c r="H46" s="212" t="s">
        <v>69</v>
      </c>
      <c r="I46" s="183" t="e">
        <f>7120&amp;I36</f>
        <v>#N/A</v>
      </c>
      <c r="J46" s="183" t="str" cm="1">
        <f t="array" ref="J46">_xlfn.SWITCH(F34,1,(""),2,(""),3,(""),4,(""),5,(""),6,(I46),7,(""),8,(""),9,(""),)</f>
        <v/>
      </c>
      <c r="N46" s="183" t="e">
        <f>7120&amp;N36</f>
        <v>#N/A</v>
      </c>
      <c r="O46" s="183" t="e" cm="1">
        <f t="array" ref="O46">_xlfn.SWITCH(F34,1,(""),2,(""),3,(""),4,(""),5,(""),6,(""),7,(""),8,(N46),9,(""),)</f>
        <v>#N/A</v>
      </c>
      <c r="S46" s="183" t="str">
        <f>526&amp;G24&amp;E51&amp;"T"</f>
        <v>526T</v>
      </c>
      <c r="T46" s="183"/>
    </row>
    <row r="47" spans="1:24" x14ac:dyDescent="0.25">
      <c r="A47" s="2">
        <v>30</v>
      </c>
      <c r="B47" s="1">
        <v>220</v>
      </c>
      <c r="E47" s="2">
        <v>30</v>
      </c>
      <c r="F47" s="430"/>
    </row>
    <row r="48" spans="1:24" x14ac:dyDescent="0.25">
      <c r="A48" s="2">
        <v>35</v>
      </c>
      <c r="B48" s="1">
        <v>330</v>
      </c>
      <c r="E48" s="2">
        <v>35</v>
      </c>
      <c r="F48" s="430"/>
    </row>
    <row r="49" spans="1:13" x14ac:dyDescent="0.25">
      <c r="A49" s="2">
        <v>40</v>
      </c>
      <c r="B49" s="1">
        <v>440</v>
      </c>
      <c r="E49" s="2">
        <v>40</v>
      </c>
      <c r="F49" s="430"/>
    </row>
    <row r="50" spans="1:13" x14ac:dyDescent="0.25">
      <c r="A50" s="2">
        <v>45</v>
      </c>
      <c r="B50" s="1">
        <v>550</v>
      </c>
      <c r="E50" s="2">
        <v>45</v>
      </c>
      <c r="F50" s="430"/>
      <c r="G50" s="182" t="str" cm="1">
        <f t="array" ref="G50">_xlfn.SWITCH(F44,1,(E45),2,(E46),3,(E47),4,(E48),5,(E49),6,(E50),7,(""),8,0,23,(""),)</f>
        <v/>
      </c>
      <c r="H50" s="212" t="s">
        <v>52</v>
      </c>
    </row>
    <row r="51" spans="1:13" x14ac:dyDescent="0.25">
      <c r="A51" s="2"/>
      <c r="B51" s="189">
        <f>G46</f>
        <v>0</v>
      </c>
      <c r="D51" s="725">
        <v>0</v>
      </c>
      <c r="E51" s="163" t="str">
        <f>G50</f>
        <v/>
      </c>
      <c r="F51" s="430"/>
      <c r="G51" s="267" t="str" cm="1">
        <f t="array" ref="G51">_xlfn.SWITCH(F52,1,(D54),2,(D55),3,(D53),4,("0"),5,(D48),6,(D49),7,(0),8,0,)</f>
        <v>0</v>
      </c>
      <c r="H51" s="212" t="s">
        <v>43</v>
      </c>
    </row>
    <row r="52" spans="1:13" x14ac:dyDescent="0.25">
      <c r="A52" s="222" t="s">
        <v>141</v>
      </c>
      <c r="B52" s="204"/>
      <c r="C52" s="204"/>
      <c r="D52" s="202"/>
      <c r="E52" s="205"/>
      <c r="F52" s="428">
        <v>4</v>
      </c>
      <c r="G52" s="267" t="str" cm="1">
        <f t="array" ref="G52">_xlfn.SWITCH(F52,1,(A54),2,(A55),3,(A53),4,(""),5,(A48),6,(A49),7,(0),8,0,)</f>
        <v/>
      </c>
      <c r="H52" s="212" t="s">
        <v>125</v>
      </c>
    </row>
    <row r="53" spans="1:13" x14ac:dyDescent="0.25">
      <c r="A53" s="2" t="str">
        <f>Language!B871</f>
        <v>Standard</v>
      </c>
      <c r="B53" s="1">
        <v>347</v>
      </c>
      <c r="D53" s="715">
        <v>1447</v>
      </c>
      <c r="E53" s="2" t="str">
        <f>G53&amp;G24</f>
        <v>33023</v>
      </c>
      <c r="F53" s="430"/>
      <c r="G53" s="182">
        <v>33023</v>
      </c>
    </row>
    <row r="54" spans="1:13" x14ac:dyDescent="0.25">
      <c r="A54" s="2" t="str">
        <f>Language!B872</f>
        <v>Standard +15mm</v>
      </c>
      <c r="B54" s="1">
        <v>352</v>
      </c>
      <c r="D54" s="479">
        <v>1447</v>
      </c>
      <c r="E54" s="2" t="e">
        <f>G53&amp;G54</f>
        <v>#VALUE!</v>
      </c>
      <c r="F54" s="430"/>
      <c r="G54" s="182" t="e">
        <f>G24+1</f>
        <v>#VALUE!</v>
      </c>
    </row>
    <row r="55" spans="1:13" x14ac:dyDescent="0.25">
      <c r="A55" s="2" t="str">
        <f>Language!B873</f>
        <v>Övriga bakaxlar</v>
      </c>
      <c r="B55" s="1">
        <v>550</v>
      </c>
      <c r="D55" s="479" t="str">
        <f>IF(E55=0,"0",(VLOOKUP(E55,GP!$A$1:$C$5787,3,FALSE)))</f>
        <v>0</v>
      </c>
      <c r="E55" s="2">
        <f>'S3 Swing models'!J61</f>
        <v>0</v>
      </c>
      <c r="F55" s="430"/>
      <c r="G55" s="267" t="str" cm="1">
        <f t="array" ref="G55">_xlfn.SWITCH(F52,1,(E54),2,(E55),3,(E53),4,(""),5,(E48),6,(E49),7,(" "),8,0,)</f>
        <v/>
      </c>
      <c r="H55" s="212" t="s">
        <v>52</v>
      </c>
    </row>
    <row r="56" spans="1:13" x14ac:dyDescent="0.25">
      <c r="A56" s="2"/>
      <c r="B56" s="189">
        <f>G56</f>
        <v>0</v>
      </c>
      <c r="D56" s="725" t="str">
        <f>G51</f>
        <v>0</v>
      </c>
      <c r="E56" s="164" t="str">
        <f>G55</f>
        <v/>
      </c>
      <c r="F56" s="430"/>
      <c r="G56" s="182" cm="1">
        <f t="array" ref="G56">_xlfn.SWITCH(F52,1,(B54),2,(B55),3,(B53),4,(0),5,(B48),6,(B49),7,(0),8,0,)</f>
        <v>0</v>
      </c>
      <c r="H56" s="212" t="s">
        <v>69</v>
      </c>
    </row>
    <row r="57" spans="1:13" x14ac:dyDescent="0.25">
      <c r="A57" s="222" t="s">
        <v>142</v>
      </c>
      <c r="B57" s="204"/>
      <c r="C57" s="204"/>
      <c r="D57" s="202"/>
      <c r="E57" s="205"/>
      <c r="F57" s="428">
        <v>3</v>
      </c>
      <c r="J57" s="303" t="str" cm="1">
        <f t="array" ref="J57">_xlfn.SWITCH(F2,1,(""),2,(""),3,(""),4,(""),5,(""),6,(M57),7,(""),8,(""),9,(""),)</f>
        <v/>
      </c>
      <c r="M57" t="s">
        <v>153</v>
      </c>
    </row>
    <row r="58" spans="1:13" x14ac:dyDescent="0.25">
      <c r="A58" s="2" t="s">
        <v>13</v>
      </c>
      <c r="B58" s="1">
        <v>666</v>
      </c>
      <c r="D58" s="1">
        <v>613</v>
      </c>
      <c r="E58" s="2">
        <v>2100070</v>
      </c>
      <c r="F58" s="430"/>
      <c r="G58" s="267" t="str" cm="1">
        <f t="array" ref="G58">_xlfn.SWITCH(F57,1,(A59),2,(A58),3,(""),4,(""),5,(A59),6,(A49),7,(""),8,0,)</f>
        <v/>
      </c>
      <c r="H58" s="212" t="s">
        <v>125</v>
      </c>
    </row>
    <row r="59" spans="1:13" x14ac:dyDescent="0.25">
      <c r="A59" s="2" t="s">
        <v>128</v>
      </c>
      <c r="B59" s="1">
        <v>590</v>
      </c>
      <c r="D59" s="1">
        <v>613</v>
      </c>
      <c r="E59" s="2">
        <v>2100090</v>
      </c>
      <c r="F59" s="430"/>
      <c r="G59" s="182" cm="1">
        <f t="array" ref="G59">_xlfn.SWITCH(F57,1,(B59),2,(B58),3,(0),4,(B60),5,(B59),6,(B49),7,(0),8,0,)</f>
        <v>0</v>
      </c>
      <c r="H59" s="212" t="s">
        <v>69</v>
      </c>
    </row>
    <row r="60" spans="1:13" x14ac:dyDescent="0.25">
      <c r="A60" s="2" t="s">
        <v>14</v>
      </c>
      <c r="B60" s="1">
        <v>782</v>
      </c>
      <c r="D60" s="1">
        <v>600</v>
      </c>
      <c r="E60" s="2">
        <v>2100050</v>
      </c>
      <c r="F60" s="430"/>
      <c r="G60" s="182" cm="1">
        <f t="array" ref="G60">_xlfn.SWITCH(F57,1,(D59),2,(D58),3,(0),4,(D60),5,(D59),6,(D49),7,(0),8,0,)</f>
        <v>0</v>
      </c>
      <c r="H60" s="212" t="s">
        <v>43</v>
      </c>
    </row>
    <row r="61" spans="1:13" x14ac:dyDescent="0.25">
      <c r="A61" s="2" t="str">
        <f>Language!B257</f>
        <v>Övriga gafflar</v>
      </c>
      <c r="B61" s="1">
        <v>900</v>
      </c>
      <c r="D61" s="1" t="str">
        <f>IF(E61=0,"0",(VLOOKUP(E61,GP!$A$1:$C$5787,3,FALSE)))</f>
        <v>0</v>
      </c>
      <c r="E61" s="124">
        <f>'S3 Swing models'!J70</f>
        <v>0</v>
      </c>
      <c r="F61" s="430"/>
      <c r="G61" s="182" t="str" cm="1">
        <f t="array" ref="G61">_xlfn.SWITCH(F57,1,(E59),2,(E58),3,(""),4,(E60),5,(E59),6,(E49),7,(" "),8,0,)</f>
        <v/>
      </c>
      <c r="H61" s="212" t="s">
        <v>52</v>
      </c>
    </row>
    <row r="62" spans="1:13" x14ac:dyDescent="0.25">
      <c r="A62" s="2"/>
      <c r="B62" s="189">
        <f>G59</f>
        <v>0</v>
      </c>
      <c r="D62" s="189">
        <f>(G60)*2</f>
        <v>0</v>
      </c>
      <c r="E62" s="163" t="str">
        <f>G61</f>
        <v/>
      </c>
      <c r="F62" s="430" t="s">
        <v>84</v>
      </c>
    </row>
    <row r="63" spans="1:13" x14ac:dyDescent="0.25">
      <c r="A63" s="222" t="s">
        <v>143</v>
      </c>
      <c r="B63" s="204"/>
      <c r="C63" s="204"/>
      <c r="D63" s="202"/>
      <c r="E63" s="205"/>
      <c r="F63" s="428">
        <v>4</v>
      </c>
      <c r="G63" s="182" t="str" cm="1">
        <f t="array" ref="G63">_xlfn.SWITCH(F16,1,(A19),2,(A20),3,(A22),4,(A23),5,(A21),6,(A24),7,(""),8,(A24),9,(" "),)</f>
        <v/>
      </c>
      <c r="H63" s="212" t="s">
        <v>83</v>
      </c>
    </row>
    <row r="64" spans="1:13" x14ac:dyDescent="0.25">
      <c r="A64" s="2" t="str">
        <f>Language!B879</f>
        <v>S3 Swing</v>
      </c>
      <c r="B64" s="1">
        <v>1296</v>
      </c>
      <c r="D64" s="715">
        <v>3160</v>
      </c>
      <c r="E64" s="2" t="str">
        <f>43911&amp;I68</f>
        <v>43911</v>
      </c>
      <c r="F64" s="430"/>
      <c r="G64" s="267" t="str" cm="1">
        <f t="array" ref="G64">_xlfn.SWITCH(F63,1,(A64),2,(A65),3,(A66),4,(""),5,(A65),6,(""),7,(""),8,0,)</f>
        <v/>
      </c>
      <c r="H64" s="212" t="s">
        <v>125</v>
      </c>
    </row>
    <row r="65" spans="1:12" x14ac:dyDescent="0.25">
      <c r="A65" s="2" t="str">
        <f>Language!B880</f>
        <v>Stora fotplattor</v>
      </c>
      <c r="B65" s="1">
        <v>1500</v>
      </c>
      <c r="D65" s="715">
        <v>3160</v>
      </c>
      <c r="E65" s="2" t="str">
        <f>43913&amp;I68</f>
        <v>43913</v>
      </c>
      <c r="F65" s="430"/>
      <c r="I65" s="239" t="s">
        <v>66</v>
      </c>
      <c r="J65" s="237"/>
      <c r="K65" s="237"/>
      <c r="L65" s="224"/>
    </row>
    <row r="66" spans="1:12" x14ac:dyDescent="0.25">
      <c r="A66" s="2" t="str">
        <f>Language!B881</f>
        <v>Förlängda rör</v>
      </c>
      <c r="B66" s="1">
        <v>1350</v>
      </c>
      <c r="D66" s="715">
        <v>3160</v>
      </c>
      <c r="E66" s="2" t="str">
        <f>43912&amp;I68</f>
        <v>43912</v>
      </c>
      <c r="F66" s="430"/>
      <c r="G66" s="182" cm="1">
        <f t="array" ref="G66">_xlfn.SWITCH(F63,1,(B64),2,(B65),3,(B66),4,(0),5,(B65),6,(0),7,(0),8,0,)</f>
        <v>0</v>
      </c>
      <c r="H66" s="212" t="s">
        <v>69</v>
      </c>
      <c r="I66" s="259" t="s">
        <v>67</v>
      </c>
      <c r="J66" s="2" t="s">
        <v>68</v>
      </c>
      <c r="K66" s="2">
        <v>45</v>
      </c>
      <c r="L66" s="260">
        <v>50</v>
      </c>
    </row>
    <row r="67" spans="1:12" x14ac:dyDescent="0.25">
      <c r="A67" s="2"/>
      <c r="B67" s="1"/>
      <c r="D67" s="715"/>
      <c r="F67" s="430"/>
      <c r="G67" s="182" cm="1">
        <f t="array" ref="G67">_xlfn.SWITCH(F63,1,(D64),2,(D65),3,(D66),4,(0),5,(D65),6,(0),7,(0),8,0,)</f>
        <v>0</v>
      </c>
      <c r="H67" s="212" t="s">
        <v>43</v>
      </c>
      <c r="I67" s="197">
        <v>33</v>
      </c>
      <c r="J67">
        <v>39</v>
      </c>
      <c r="K67">
        <v>45</v>
      </c>
      <c r="L67" s="227">
        <v>50</v>
      </c>
    </row>
    <row r="68" spans="1:12" ht="15" x14ac:dyDescent="0.25">
      <c r="A68" s="2"/>
      <c r="B68" s="1"/>
      <c r="D68" s="715"/>
      <c r="F68" s="433"/>
      <c r="G68" s="164" t="str" cm="1">
        <f t="array" ref="G68">_xlfn.SWITCH(F63,1,(E64),2,(E65),3,(E66),4,(""),5,(E65),6,(""),7,(" "),8,0,)</f>
        <v/>
      </c>
      <c r="H68" s="212" t="s">
        <v>52</v>
      </c>
      <c r="I68" s="228" t="str" cm="1">
        <f t="array" ref="I68">_xlfn.SWITCH(F16,1,(I67),2,(I67),3,(J67),4,(K67),5,(J67),6,(L67),7,(""),8,(K67),9,(" "),)</f>
        <v/>
      </c>
      <c r="J68" s="238"/>
      <c r="K68" s="238"/>
      <c r="L68" s="226"/>
    </row>
    <row r="69" spans="1:12" ht="15" x14ac:dyDescent="0.25">
      <c r="A69" s="2"/>
      <c r="B69" s="189">
        <f>G66</f>
        <v>0</v>
      </c>
      <c r="D69" s="725">
        <f>G67</f>
        <v>0</v>
      </c>
      <c r="E69" s="163" t="str">
        <f>G68</f>
        <v/>
      </c>
      <c r="F69" s="433"/>
      <c r="G69" s="2"/>
      <c r="I69" s="268"/>
      <c r="L69" s="227"/>
    </row>
    <row r="70" spans="1:12" x14ac:dyDescent="0.25">
      <c r="A70" s="203" t="str">
        <f>Language!B882</f>
        <v>Hälband:</v>
      </c>
      <c r="B70" s="754">
        <v>55</v>
      </c>
      <c r="C70" s="424"/>
      <c r="D70" s="755">
        <v>207</v>
      </c>
      <c r="E70" s="232" t="str">
        <f>H70</f>
        <v>37003</v>
      </c>
      <c r="F70" s="430" t="b">
        <v>0</v>
      </c>
      <c r="H70" s="212" t="str">
        <f>37003&amp;I73</f>
        <v>37003</v>
      </c>
      <c r="I70" s="239" t="s">
        <v>76</v>
      </c>
      <c r="J70" s="237"/>
      <c r="K70" s="237"/>
      <c r="L70" s="224"/>
    </row>
    <row r="71" spans="1:12" x14ac:dyDescent="0.25">
      <c r="A71" s="2"/>
      <c r="B71" s="189" cm="1">
        <f t="array" ref="B71">_xlfn.SWITCH(F70,TRUE,(B70),)</f>
        <v>0</v>
      </c>
      <c r="C71" s="504"/>
      <c r="D71" s="725" cm="1">
        <f t="array" ref="D71">_xlfn.SWITCH(F70,TRUE,(D70),)</f>
        <v>0</v>
      </c>
      <c r="E71" s="753" t="str" cm="1">
        <f t="array" ref="E71">_xlfn.SWITCH(F70,TRUE,(E70),"")</f>
        <v/>
      </c>
      <c r="F71" s="505" t="b">
        <v>0</v>
      </c>
      <c r="G71" s="506"/>
      <c r="H71" s="212" t="str">
        <f>36010&amp;G24</f>
        <v>36010</v>
      </c>
      <c r="I71" s="257" t="s">
        <v>67</v>
      </c>
      <c r="J71" s="159" t="s">
        <v>68</v>
      </c>
      <c r="K71" s="159">
        <v>45</v>
      </c>
      <c r="L71" s="258">
        <v>50</v>
      </c>
    </row>
    <row r="72" spans="1:12" x14ac:dyDescent="0.25">
      <c r="A72" s="2"/>
      <c r="B72" s="1"/>
      <c r="E72" s="730"/>
      <c r="F72" s="430"/>
      <c r="G72" s="267" t="str" cm="1">
        <f t="array" ref="G72">_xlfn.SWITCH(F70,TRUE,(Language!B324),"")</f>
        <v/>
      </c>
      <c r="H72" s="212" t="s">
        <v>4854</v>
      </c>
      <c r="I72" s="197">
        <v>35</v>
      </c>
      <c r="J72">
        <v>41</v>
      </c>
      <c r="K72">
        <v>47</v>
      </c>
      <c r="L72" s="227">
        <v>52</v>
      </c>
    </row>
    <row r="73" spans="1:12" x14ac:dyDescent="0.25">
      <c r="A73" s="222" t="s">
        <v>144</v>
      </c>
      <c r="B73" s="204"/>
      <c r="C73" s="204"/>
      <c r="D73" s="202"/>
      <c r="E73" s="205"/>
      <c r="F73" s="428">
        <v>3</v>
      </c>
      <c r="G73" s="267" t="str" cm="1">
        <f t="array" ref="G73">_xlfn.SWITCH(F73,1,(A77),2,(A74),3,(""),4,(A74),5,(""),6,(A76),7,(""),8,0,)</f>
        <v/>
      </c>
      <c r="H73" s="212" t="s">
        <v>4855</v>
      </c>
      <c r="I73" s="190" t="str" cm="1">
        <f t="array" ref="I73">_xlfn.SWITCH(F16,1,(I72),2,(I72),3,(J72),4,(K72),5,(J72),6,(L72),7,(""),8,(K72),9,(" "),)</f>
        <v/>
      </c>
      <c r="J73" s="238"/>
      <c r="K73" s="238"/>
      <c r="L73" s="226"/>
    </row>
    <row r="74" spans="1:12" x14ac:dyDescent="0.25">
      <c r="A74" s="2" t="str">
        <f>Language!B884</f>
        <v>S3 Standard</v>
      </c>
      <c r="B74" s="1">
        <v>310</v>
      </c>
      <c r="D74" s="715">
        <v>942</v>
      </c>
      <c r="E74" s="2">
        <v>4630000</v>
      </c>
      <c r="F74" s="430"/>
      <c r="G74" s="267" t="str" cm="1">
        <f t="array" ref="G74">_xlfn.SWITCH(F73,1,(D77),2,(D74),3,("0"),4,(D74),5,(""),6,(D76),7,("0"),8,0,)</f>
        <v>0</v>
      </c>
      <c r="H74" s="212" t="s">
        <v>43</v>
      </c>
      <c r="I74" s="239" t="s">
        <v>73</v>
      </c>
      <c r="J74" s="237"/>
      <c r="K74" s="237"/>
      <c r="L74" s="224"/>
    </row>
    <row r="75" spans="1:12" x14ac:dyDescent="0.25">
      <c r="A75" s="2" t="str">
        <f>Language!B885</f>
        <v>Enhandsbroms, höger</v>
      </c>
      <c r="B75" s="1">
        <v>400</v>
      </c>
      <c r="D75" s="715">
        <v>1650</v>
      </c>
      <c r="E75" s="2" t="str">
        <f>367&amp;I77</f>
        <v>3673639</v>
      </c>
      <c r="F75" s="430"/>
      <c r="I75" s="195" t="s">
        <v>78</v>
      </c>
      <c r="J75" s="1" t="s">
        <v>79</v>
      </c>
      <c r="K75" s="1" t="s">
        <v>80</v>
      </c>
      <c r="L75" s="196"/>
    </row>
    <row r="76" spans="1:12" x14ac:dyDescent="0.25">
      <c r="A76" s="2" t="str">
        <f>Language!B886</f>
        <v>Enhandsbroms, vänster</v>
      </c>
      <c r="B76" s="1">
        <v>400</v>
      </c>
      <c r="D76" s="715">
        <v>1650</v>
      </c>
      <c r="E76" s="2" t="str">
        <f>368&amp;I77</f>
        <v>3683639</v>
      </c>
      <c r="F76" s="430"/>
      <c r="G76" s="182" t="str" cm="1">
        <f t="array" ref="G76">_xlfn.SWITCH(F73,1,(E77),2,(E74),3,(""),4,(E74),5,(E76),6,(""),7,(" "),8,0,)</f>
        <v/>
      </c>
      <c r="H76" s="212" t="s">
        <v>52</v>
      </c>
      <c r="I76" s="197">
        <v>3033</v>
      </c>
      <c r="J76">
        <v>3639</v>
      </c>
      <c r="K76">
        <v>4245</v>
      </c>
      <c r="L76" s="227"/>
    </row>
    <row r="77" spans="1:12" x14ac:dyDescent="0.25">
      <c r="A77" s="2" t="str">
        <f>Language!B887</f>
        <v>Vårdarbroms</v>
      </c>
      <c r="B77" s="1">
        <v>3500</v>
      </c>
      <c r="D77" s="715" t="str">
        <f>IF(E77=0,"0",(VLOOKUP(E77,GP!$A$1:$C$5787,3,FALSE)))</f>
        <v>0</v>
      </c>
      <c r="E77" s="2">
        <f>'S3 Swing models'!J84</f>
        <v>0</v>
      </c>
      <c r="F77" s="430"/>
      <c r="I77" s="228" cm="1">
        <f t="array" ref="I77">_xlfn.SWITCH(F16,1,("NA"),2,(I76),3,(J76),4,(J76),5,(K76),6,(K76),7,(J76),8,("NA"),9,(" "),)</f>
        <v>3639</v>
      </c>
      <c r="J77" s="238"/>
      <c r="K77" s="238"/>
      <c r="L77" s="226"/>
    </row>
    <row r="78" spans="1:12" x14ac:dyDescent="0.25">
      <c r="A78" s="2"/>
      <c r="B78" s="189">
        <f>G78</f>
        <v>0</v>
      </c>
      <c r="C78" s="752"/>
      <c r="D78" s="725" t="str">
        <f>G74</f>
        <v>0</v>
      </c>
      <c r="E78" s="163" t="str">
        <f>G76</f>
        <v/>
      </c>
      <c r="F78" s="430"/>
      <c r="G78" s="182" cm="1">
        <f t="array" ref="G78">_xlfn.SWITCH(F73,1,(B77),2,(B74),3,(0),4,(B74),5,(B76),6,(B76),7,(0),8,0,)</f>
        <v>0</v>
      </c>
      <c r="H78" s="212" t="s">
        <v>69</v>
      </c>
    </row>
    <row r="79" spans="1:12" x14ac:dyDescent="0.25">
      <c r="A79" s="222" t="s">
        <v>145</v>
      </c>
      <c r="B79" s="204"/>
      <c r="C79" s="204"/>
      <c r="D79" s="202"/>
      <c r="E79" s="205"/>
      <c r="F79" s="428">
        <v>44</v>
      </c>
    </row>
    <row r="80" spans="1:12" ht="15" x14ac:dyDescent="0.25">
      <c r="A80" s="2" t="str">
        <f>Language!B889</f>
        <v>24" Std Däck Right Run</v>
      </c>
      <c r="B80" s="1">
        <v>2800</v>
      </c>
      <c r="D80" s="479">
        <f>IF(E80=0,"0",(VLOOKUP(E80,GP!$A$1:$C$5787,3,FALSE)))</f>
        <v>1825</v>
      </c>
      <c r="E80" s="2">
        <v>1300000</v>
      </c>
      <c r="F80" s="534">
        <v>24</v>
      </c>
    </row>
    <row r="81" spans="1:11" ht="15" x14ac:dyDescent="0.25">
      <c r="A81" s="2" t="str">
        <f>Language!B890</f>
        <v>24" Std Däck Marathon Plus</v>
      </c>
      <c r="B81" s="1">
        <v>3340</v>
      </c>
      <c r="D81" s="479">
        <f>IF(E81=0,"0",(VLOOKUP(E81,GP!$A$1:$C$5787,3,FALSE)))</f>
        <v>2031</v>
      </c>
      <c r="E81" s="2">
        <v>1300002</v>
      </c>
      <c r="F81" s="534">
        <v>24</v>
      </c>
    </row>
    <row r="82" spans="1:11" ht="15" x14ac:dyDescent="0.25">
      <c r="A82" s="2" t="str">
        <f>Language!B891</f>
        <v>24" Std Däck Grovmönst.</v>
      </c>
      <c r="B82" s="1">
        <v>2980</v>
      </c>
      <c r="D82" s="479">
        <f>IF(E82=0,"0",(VLOOKUP(E82,GP!$A$1:$C$5787,3,FALSE)))</f>
        <v>2221</v>
      </c>
      <c r="E82" s="2">
        <v>1300003</v>
      </c>
      <c r="F82" s="534">
        <v>24</v>
      </c>
    </row>
    <row r="83" spans="1:11" ht="15" x14ac:dyDescent="0.25">
      <c r="A83" s="2" t="str">
        <f>Language!B892</f>
        <v>24" Std Däck PU-massiva</v>
      </c>
      <c r="B83" s="1">
        <v>3320</v>
      </c>
      <c r="D83" s="479">
        <f>IF(E83=0,"0",(VLOOKUP(E83,GP!$A$1:$C$5787,3,FALSE)))</f>
        <v>2390</v>
      </c>
      <c r="E83" s="2">
        <v>1300001</v>
      </c>
      <c r="F83" s="534">
        <v>24</v>
      </c>
    </row>
    <row r="84" spans="1:11" ht="15" x14ac:dyDescent="0.25">
      <c r="A84" s="2" t="str">
        <f>Language!B893</f>
        <v>22" Std Däck Right Run</v>
      </c>
      <c r="B84" s="1">
        <v>2500</v>
      </c>
      <c r="D84" s="479">
        <f>IF(E84=0,"0",(VLOOKUP(E84,GP!$A$1:$C$5787,3,FALSE)))</f>
        <v>1825</v>
      </c>
      <c r="E84" s="2">
        <v>1310000</v>
      </c>
      <c r="F84" s="534">
        <v>22</v>
      </c>
    </row>
    <row r="85" spans="1:11" ht="15" x14ac:dyDescent="0.25">
      <c r="A85" s="2" t="str">
        <f>Language!B894</f>
        <v>22" Std Däck Marathon Plus</v>
      </c>
      <c r="B85" s="1">
        <v>3040</v>
      </c>
      <c r="D85" s="479">
        <f>IF(E85=0,"0",(VLOOKUP(E85,GP!$A$1:$C$5787,3,FALSE)))</f>
        <v>2031</v>
      </c>
      <c r="E85" s="2">
        <v>1310002</v>
      </c>
      <c r="F85" s="534">
        <v>22</v>
      </c>
      <c r="G85" s="267" t="str" cm="1">
        <f t="array" ref="G85">_xlfn.SWITCH(F79,1,(A85),2,(A95),3,(A84),4,(A96),5,(A81),6,(A82),7,(A83),8,(A83),9,(A87),10,(A87),11,(A88),12,(A88),13,(A89),14,(A89),16,(A80),17,(A80),18,(A90),19,(A90),22,(A91),23,(A91),26,(A92),27,(A92),34,(A93),35,(A93),42,(A94),43,(A86),44,(""),45,(A85),46,(A86),47,(""),)</f>
        <v/>
      </c>
      <c r="H85" s="212" t="s">
        <v>125</v>
      </c>
    </row>
    <row r="86" spans="1:11" ht="15" x14ac:dyDescent="0.25">
      <c r="A86" s="2" t="str">
        <f>Language!B895</f>
        <v>22" Std Däck PU-massiva</v>
      </c>
      <c r="B86" s="1">
        <v>2680</v>
      </c>
      <c r="D86" s="479">
        <f>IF(E86=0,"0",(VLOOKUP(E86,GP!$A$1:$C$5787,3,FALSE)))</f>
        <v>2390</v>
      </c>
      <c r="E86" s="2">
        <v>1310001</v>
      </c>
      <c r="F86" s="534">
        <v>22</v>
      </c>
    </row>
    <row r="87" spans="1:11" ht="15" x14ac:dyDescent="0.25">
      <c r="A87" s="2" t="str">
        <f>Language!B896</f>
        <v>25" Spinergy X Däck Right Run</v>
      </c>
      <c r="B87" s="1">
        <v>2441</v>
      </c>
      <c r="D87" s="479">
        <f>IF(E87=0,"0",(VLOOKUP(E87,GP!$A$1:$C$5787,3,FALSE)))</f>
        <v>3548</v>
      </c>
      <c r="E87" s="2">
        <v>1100155</v>
      </c>
      <c r="F87" s="534">
        <v>25</v>
      </c>
      <c r="G87" s="182" cm="1">
        <f t="array" ref="G87">_xlfn.SWITCH(F79,1,(B85),2,(B95),3,(B84),4,(B96),5,(B81),6,(B82),7,(B83),8,(B83),9,(B87),10,(B87),11,(B88),12,(B88),13,(B89),14,(B89),16,(B80),17,(B80),18,(B90),19,(B90),22,(B91),23,(B91),26,(B92),27,(B92),34,(B93),35,(B93),42,(B94),43,(B86),44,(0),45,(B85),46,(B86),47,(""),)</f>
        <v>0</v>
      </c>
      <c r="H87" s="212" t="s">
        <v>69</v>
      </c>
    </row>
    <row r="88" spans="1:11" ht="15" x14ac:dyDescent="0.25">
      <c r="A88" s="2" t="str">
        <f>Language!B897</f>
        <v>25" Spinergy X Däck Marat. Plus</v>
      </c>
      <c r="B88" s="1">
        <v>2980</v>
      </c>
      <c r="D88" s="479">
        <f>IF(E88=0,"0",(VLOOKUP(E88,GP!$A$1:$C$5787,3,FALSE)))</f>
        <v>3737</v>
      </c>
      <c r="E88" s="2">
        <v>1100275</v>
      </c>
      <c r="F88" s="534">
        <v>25</v>
      </c>
    </row>
    <row r="89" spans="1:11" ht="15" x14ac:dyDescent="0.25">
      <c r="A89" s="2" t="str">
        <f>Language!B898</f>
        <v>26" Spinergy X Däck Right Run</v>
      </c>
      <c r="B89" s="1">
        <v>2601</v>
      </c>
      <c r="D89" s="479">
        <f>IF(E89=0,"0",(VLOOKUP(E89,GP!$A$1:$C$5787,3,FALSE)))</f>
        <v>3548</v>
      </c>
      <c r="E89" s="2">
        <v>1100156</v>
      </c>
      <c r="F89" s="534">
        <v>25</v>
      </c>
      <c r="G89" s="182" cm="1">
        <f t="array" ref="G89">_xlfn.SWITCH(F79,1,(D85),2,(D95),3,(D84),4,(D96),5,(D81),6,(D82),7,(D83),8,(D83),9,(D87),10,(D87),11,(D88),12,(D88),13,(D89),14,(D89),16,(D80),17,(D80),18,(D90),19,(D90),22,(D91),23,(D91),26,(D92),27,(D92),34,(D93),35,(D93),42,(D94),43,(D86),44,(0),45,(D85),46,(D86),47,(""),)</f>
        <v>0</v>
      </c>
      <c r="H89" s="212" t="s">
        <v>43</v>
      </c>
    </row>
    <row r="90" spans="1:11" ht="15" x14ac:dyDescent="0.25">
      <c r="A90" s="2" t="str">
        <f>Language!B899</f>
        <v>26" Spinergy X Däck Marat. Plus</v>
      </c>
      <c r="B90" s="1">
        <v>3140</v>
      </c>
      <c r="D90" s="479">
        <f>IF(E90=0,"0",(VLOOKUP(E90,GP!$A$1:$C$5787,3,FALSE)))</f>
        <v>3737</v>
      </c>
      <c r="E90" s="2">
        <v>1100276</v>
      </c>
      <c r="F90" s="534">
        <v>26</v>
      </c>
      <c r="G90" s="241"/>
      <c r="K90" s="75"/>
    </row>
    <row r="91" spans="1:11" ht="15" x14ac:dyDescent="0.25">
      <c r="A91" s="2" t="str">
        <f>Language!B900</f>
        <v>25" Spinergy X Däck  Right Run Vit</v>
      </c>
      <c r="B91" s="1">
        <v>2441</v>
      </c>
      <c r="D91" s="479">
        <f>IF(E91=0,"0",(VLOOKUP(E91,GP!$A$1:$C$5787,3,FALSE)))</f>
        <v>3548</v>
      </c>
      <c r="E91" s="2">
        <v>1100165</v>
      </c>
      <c r="F91" s="534">
        <v>25</v>
      </c>
      <c r="G91" s="182" t="str" cm="1">
        <f t="array" ref="G91">_xlfn.SWITCH(F79,1,(22),2,(24),3,(22),4,(24),5,(24),6,(24),7,(24),8,(24),9,(25),10,(25),11,(25),12,(25),13,(25),14,(25),16,(22),17,(24),18,(26),19,(26),22,(25),23,(25),26,(25),27,(25),34,(26),35,(26),42,(26),43,(22),44,(""),45,(22),46,(22),47,(""),)</f>
        <v/>
      </c>
      <c r="H91" s="212" t="s">
        <v>83</v>
      </c>
      <c r="K91" t="str" cm="1">
        <f t="array" ref="K91">_xlfn.SWITCH(F79,1,(J57),2,(""),3,(J57),4,(""),5,(""),6,(J57),7,(""),8,(24),9,(""),11,(""),13,(""),15,(""),18,(""),20,(""),24,(""),28,(""),36,(""),44,(""),45,(J57),47,(J57),)</f>
        <v/>
      </c>
    </row>
    <row r="92" spans="1:11" ht="15" x14ac:dyDescent="0.25">
      <c r="A92" s="2" t="str">
        <f>Language!B901</f>
        <v>25" Spinergy X Däck Marat. Plus Vit</v>
      </c>
      <c r="B92" s="1">
        <v>2980</v>
      </c>
      <c r="D92" s="479">
        <f>IF(E92=0,"0",(VLOOKUP(E92,GP!$A$1:$C$5787,3,FALSE)))</f>
        <v>3737</v>
      </c>
      <c r="E92" s="2">
        <v>1100285</v>
      </c>
      <c r="F92" s="534">
        <v>25</v>
      </c>
    </row>
    <row r="93" spans="1:11" ht="15" x14ac:dyDescent="0.25">
      <c r="A93" s="2" t="str">
        <f>Language!B902</f>
        <v>26" Spinergy X Right Run White</v>
      </c>
      <c r="B93" s="1">
        <v>2601</v>
      </c>
      <c r="D93" s="479">
        <f>IF(E93=0,"0",(VLOOKUP(E93,GP!$A$1:$C$5787,3,FALSE)))</f>
        <v>3548</v>
      </c>
      <c r="E93" s="2">
        <v>1100166</v>
      </c>
      <c r="F93" s="534">
        <v>26</v>
      </c>
    </row>
    <row r="94" spans="1:11" ht="15" x14ac:dyDescent="0.25">
      <c r="A94" s="2" t="str">
        <f>Language!B903</f>
        <v>26" Spinergy X Däck Marat. Plus White</v>
      </c>
      <c r="B94" s="1">
        <v>3140</v>
      </c>
      <c r="D94" s="479">
        <f>IF(E94=0,"0",(VLOOKUP(E94,GP!$A$1:$C$5787,3,FALSE)))</f>
        <v>3737</v>
      </c>
      <c r="E94" s="2">
        <v>1100286</v>
      </c>
      <c r="F94" s="534">
        <v>26</v>
      </c>
      <c r="G94" s="182" t="str" cm="1">
        <f t="array" ref="G94">_xlfn.SWITCH(F79,1,(E85),2,(E95),3,(E84),4,(E96),5,(E81),6,(E82),7,(E83),8,(E83),9,(E87),10,(E87),11,(E88),12,(E88),13,(E89),14,(E89),16,(E80),17,(E80),18,(E90),19,(E90),22,(E91),23,(E91),26,(E92),27,(E92),34,(E93),35,(E93),42,(E94),43,(E86),44,(""),45,(E85),46,(E86),47,(""),)</f>
        <v/>
      </c>
      <c r="H94" s="212" t="s">
        <v>52</v>
      </c>
    </row>
    <row r="95" spans="1:11" ht="15" x14ac:dyDescent="0.25">
      <c r="A95" s="2" t="str">
        <f>Language!B904</f>
        <v>Enhandsdrift</v>
      </c>
      <c r="B95" s="1">
        <v>3500</v>
      </c>
      <c r="D95" s="479" t="str">
        <f>IF(E95=0,"0",(VLOOKUP(E95,GP!$A$1:$C$5787,3,FALSE)))</f>
        <v>0</v>
      </c>
      <c r="E95" s="2">
        <f>'S3 Swing models'!J91</f>
        <v>0</v>
      </c>
      <c r="F95" s="534"/>
    </row>
    <row r="96" spans="1:11" ht="15" x14ac:dyDescent="0.25">
      <c r="A96" s="2" t="str">
        <f>Language!B905</f>
        <v>Drivhjul 24x2" MTB</v>
      </c>
      <c r="B96" s="1">
        <v>4280</v>
      </c>
      <c r="D96" s="479">
        <f>IF(E96=0,"0",(VLOOKUP(E96,GP!$A$1:$C$5787,3,FALSE)))</f>
        <v>3032</v>
      </c>
      <c r="E96" s="2">
        <v>1102462</v>
      </c>
      <c r="F96" s="534">
        <v>24</v>
      </c>
    </row>
    <row r="97" spans="1:10" x14ac:dyDescent="0.25">
      <c r="A97" s="2"/>
      <c r="B97" s="189">
        <f>G87</f>
        <v>0</v>
      </c>
      <c r="C97" s="195"/>
      <c r="D97" s="189">
        <f>(G89)*2</f>
        <v>0</v>
      </c>
      <c r="E97" s="163" t="str">
        <f>G94</f>
        <v/>
      </c>
      <c r="F97" s="430" t="s">
        <v>84</v>
      </c>
    </row>
    <row r="98" spans="1:10" x14ac:dyDescent="0.25">
      <c r="A98" s="2"/>
      <c r="B98" s="1"/>
      <c r="F98" s="430"/>
    </row>
    <row r="99" spans="1:10" x14ac:dyDescent="0.25">
      <c r="A99" s="254" t="s">
        <v>98</v>
      </c>
      <c r="B99" s="204"/>
      <c r="C99" s="204"/>
      <c r="D99" s="202"/>
      <c r="E99" s="205"/>
      <c r="F99" s="428" t="b">
        <v>0</v>
      </c>
    </row>
    <row r="100" spans="1:10" x14ac:dyDescent="0.25">
      <c r="A100" s="2" t="str">
        <f>Language!B907</f>
        <v xml:space="preserve"> reTyre Traction 24” kpl par</v>
      </c>
      <c r="B100" s="2"/>
      <c r="C100" s="198"/>
      <c r="D100" s="1">
        <f>IF(E100=0,"0",(VLOOKUP(E100,GP!$A$1:$C$5787,3,FALSE)))</f>
        <v>1300</v>
      </c>
      <c r="E100" s="2">
        <f>1100300</f>
        <v>1100300</v>
      </c>
      <c r="F100" s="430"/>
      <c r="G100" s="182">
        <v>245</v>
      </c>
      <c r="H100" s="212" t="s">
        <v>43</v>
      </c>
    </row>
    <row r="101" spans="1:10" x14ac:dyDescent="0.25">
      <c r="A101" s="2" t="str">
        <f>Language!B908</f>
        <v xml:space="preserve"> reTyre Traction 25”  kpl par</v>
      </c>
      <c r="B101" s="2"/>
      <c r="C101" s="198"/>
      <c r="D101" s="1">
        <f>IF(E101=0,"0",(VLOOKUP(E101,GP!$A$1:$C$5787,3,FALSE)))</f>
        <v>1300</v>
      </c>
      <c r="E101" s="2">
        <v>1100305</v>
      </c>
      <c r="F101" s="430"/>
      <c r="G101" s="267" t="str">
        <f>G91</f>
        <v/>
      </c>
      <c r="H101" s="212" t="s">
        <v>83</v>
      </c>
    </row>
    <row r="102" spans="1:10" x14ac:dyDescent="0.25">
      <c r="A102" s="2" t="str">
        <f>Language!B909</f>
        <v xml:space="preserve"> reTyre Traction 26”  kpl par</v>
      </c>
      <c r="B102" s="2"/>
      <c r="C102" s="198"/>
      <c r="D102" s="1">
        <f>IF(E102=0,"0",(VLOOKUP(E102,GP!$A$1:$C$5787,3,FALSE)))</f>
        <v>1300</v>
      </c>
      <c r="E102" s="2">
        <v>1100306</v>
      </c>
      <c r="F102" s="430"/>
      <c r="G102" s="267" t="str">
        <f>1100&amp;I102</f>
        <v>1100</v>
      </c>
      <c r="H102" s="212" t="s">
        <v>52</v>
      </c>
      <c r="I102" s="469" t="str" cm="1">
        <f t="array" ref="I102">_xlfn.SWITCH(F79,1,(N/A),2,(N/A),3,(300),4,(300),5,(300),6,(300),7,(300),8,(300),9,(305),10,(305),11,(305),12,(305),13,(305),14,(305),16,(300),17,(300),18,(306),19,(306),22,(305),23,(305),26,(305),27,(305),34,(306),35,(306),42,(306),43,(N/A),44,(""),45,(N/A),46,(N/A),47,(""),)</f>
        <v/>
      </c>
      <c r="J102" t="s">
        <v>162</v>
      </c>
    </row>
    <row r="103" spans="1:10" x14ac:dyDescent="0.25">
      <c r="A103" s="2"/>
      <c r="B103" s="189">
        <v>0</v>
      </c>
      <c r="D103" s="723" cm="1">
        <f t="array" ref="D103">_xlfn.SWITCH(F99,TRUE,(D100),)</f>
        <v>0</v>
      </c>
      <c r="E103" s="163" t="str" cm="1">
        <f t="array" ref="E103">_xlfn.SWITCH(F99,TRUE,(G102),"")</f>
        <v/>
      </c>
      <c r="F103" s="430"/>
      <c r="G103" s="182" cm="1">
        <f t="array" ref="G103">_xlfn.SWITCH(F99,1,("24 cpl pair"),2,(""),3,("25 cpl pair"),4,("26 cpl pair"),5,(A122),6,(A68),7,(" "),8,0,)</f>
        <v>0</v>
      </c>
      <c r="H103" s="212" t="s">
        <v>125</v>
      </c>
      <c r="I103" s="190" t="str" cm="1">
        <f t="array" ref="I103">_xlfn.SWITCH(F99,TRUE,(Language!B943),"")</f>
        <v/>
      </c>
      <c r="J103" s="212" t="s">
        <v>125</v>
      </c>
    </row>
    <row r="104" spans="1:10" x14ac:dyDescent="0.25">
      <c r="A104" s="222" t="s">
        <v>146</v>
      </c>
      <c r="B104" s="204"/>
      <c r="C104" s="204"/>
      <c r="D104" s="202"/>
      <c r="E104" s="205"/>
      <c r="F104" s="428">
        <v>6</v>
      </c>
    </row>
    <row r="105" spans="1:10" x14ac:dyDescent="0.25">
      <c r="A105" s="2" t="str">
        <f>Language!B911</f>
        <v>Titan</v>
      </c>
      <c r="B105" s="1">
        <v>700</v>
      </c>
      <c r="D105" s="479">
        <v>1045</v>
      </c>
      <c r="E105" s="2" t="str">
        <f>190&amp;G91&amp;11</f>
        <v>19011</v>
      </c>
      <c r="F105" s="430"/>
      <c r="G105" s="267" t="str" cm="1">
        <f t="array" ref="G105">_xlfn.SWITCH(F104,1,(A106),2,(A107),3,(A108),4,(A109),5,(A105),6,(""),7,(A81),8,(A82),9,(A83),11,(A87),13,(A88),15,(A89),18,(A80),20,(A90),24,(A91),28,(A92),36,(A93),44,(A94),)</f>
        <v/>
      </c>
      <c r="H105" s="212" t="s">
        <v>125</v>
      </c>
    </row>
    <row r="106" spans="1:10" x14ac:dyDescent="0.25">
      <c r="A106" s="2" t="str">
        <f>Language!B912</f>
        <v>Paragrip</v>
      </c>
      <c r="B106" s="1">
        <v>1260</v>
      </c>
      <c r="D106" s="479">
        <v>1010</v>
      </c>
      <c r="E106" s="2" t="str">
        <f>19051&amp;G91&amp;"BT"</f>
        <v>19051BT</v>
      </c>
      <c r="F106" s="430"/>
      <c r="G106" s="182" cm="1">
        <f t="array" ref="G106">_xlfn.SWITCH(F104,1,(D106),2,(D107),3,(D108),4,(D109),5,(D105),6,(0),7,(D81),8,(D82),9,(D83),11,(D87),13,(D88),15,(D89),18,(D80),20,(D90),24,(D91),28,(D92),36,(D93),44,(D94),)</f>
        <v>0</v>
      </c>
      <c r="H106" s="212" t="s">
        <v>43</v>
      </c>
    </row>
    <row r="107" spans="1:10" x14ac:dyDescent="0.25">
      <c r="A107" s="2" t="str">
        <f>Language!B913</f>
        <v>Tetragrip</v>
      </c>
      <c r="B107" s="1">
        <v>1300</v>
      </c>
      <c r="D107" s="479">
        <v>1010</v>
      </c>
      <c r="E107" s="2" t="str">
        <f>19052&amp;G91&amp;"BT"</f>
        <v>19052BT</v>
      </c>
      <c r="F107" s="430"/>
      <c r="G107" s="182" cm="1">
        <f t="array" ref="G107">_xlfn.SWITCH(F104,1,(B106),2,(B107),3,(B108),4,(B109),5,(B105),6,(0),7,(B81),8,(B82),9,(B83),11,(B87),13,(B88),15,(B89),18,(B80),20,(B90),24,(B91),28,(B92),36,(B93),44,(B94),)</f>
        <v>0</v>
      </c>
      <c r="H107" s="212" t="s">
        <v>69</v>
      </c>
    </row>
    <row r="108" spans="1:10" x14ac:dyDescent="0.25">
      <c r="A108" s="2" t="str">
        <f>Language!B914</f>
        <v>Maxgrepp</v>
      </c>
      <c r="B108" s="1">
        <v>1200</v>
      </c>
      <c r="D108" s="479">
        <v>1326</v>
      </c>
      <c r="E108" s="2">
        <v>1903060</v>
      </c>
      <c r="F108" s="430"/>
      <c r="G108" s="267" t="str" cm="1">
        <f t="array" ref="G108">_xlfn.SWITCH(F104,1,(E106),2,(E107),3,(E108),4,(E109),5,(E105),6,(""),7,(E81),8,(E82),9,(E83),11,(E87),13,(E88),15,(E89),18,(E80),20,(E90),24,(E91),28,(E92),36,(E93),44,(E94),)</f>
        <v/>
      </c>
      <c r="H108" s="212" t="s">
        <v>52</v>
      </c>
      <c r="J108" s="1" t="s">
        <v>4830</v>
      </c>
    </row>
    <row r="109" spans="1:10" x14ac:dyDescent="0.25">
      <c r="A109" s="2" t="str">
        <f>Language!B915</f>
        <v>Aluminium</v>
      </c>
      <c r="B109" s="1">
        <v>640</v>
      </c>
      <c r="D109" s="479">
        <v>1283</v>
      </c>
      <c r="E109" s="2" t="str">
        <f>190&amp;G109</f>
        <v>190</v>
      </c>
      <c r="F109" s="430"/>
      <c r="G109" s="267" t="str" cm="1">
        <f t="array" ref="G109">_xlfn.SWITCH(F79,1,("NA"),2,(F95),3,("NA"),4,("NA"),5,(2430),6,(2430),7,(2430),8,(F83),9,(4405),10,(F87),11,(4405),12,(F88),13,(4406),14,(F89),16,(4404),17,(F80),18,(4406),19,(F90),22,(4405),23,(F91),26,(4405),27,(F92),34,(4406),35,(F93),42,(4406),43,(22),44,(""),45,(F85),46,(F86),47,(""),)</f>
        <v/>
      </c>
      <c r="H109" s="212" t="s">
        <v>124</v>
      </c>
      <c r="I109" s="212"/>
      <c r="J109" s="301" t="str" cm="1">
        <f t="array" ref="J109">_xlfn.SWITCH(F79,1,(22),2,(F95),3,(22),4,("NA"),5,(24),6,(24),7,(24),8,(F83),9,(25),10,(F87),11,(25),12,(F88),13,(26),14,(F89),16,(24),17,(F80),18,(26),19,(F90),22,(25),23,(F91),26,(25),27,(F92),34,(26),35,(F93),42,(26),43,(22),44,(""),45,(F85),46,(F86),47,(""),)</f>
        <v/>
      </c>
    </row>
    <row r="110" spans="1:10" x14ac:dyDescent="0.25">
      <c r="B110" s="189">
        <f>G107</f>
        <v>0</v>
      </c>
      <c r="C110" s="757"/>
      <c r="D110" s="723">
        <f>(G106)*2</f>
        <v>0</v>
      </c>
      <c r="E110" s="163" t="str">
        <f>G108</f>
        <v/>
      </c>
      <c r="F110" s="430" t="s">
        <v>84</v>
      </c>
    </row>
    <row r="111" spans="1:10" x14ac:dyDescent="0.25">
      <c r="A111" s="201" t="s">
        <v>85</v>
      </c>
      <c r="B111" s="204"/>
      <c r="C111" s="204"/>
      <c r="D111" s="202"/>
      <c r="E111" s="205"/>
      <c r="F111" s="430"/>
      <c r="G111" s="267" t="str" cm="1">
        <f t="array" ref="G111">_xlfn.SWITCH(F112,1,(A113),2,(A114),3,(A115),4,(A116),5,(A112),6,(""),7,(""),8,0,)</f>
        <v/>
      </c>
      <c r="H111" s="212" t="s">
        <v>125</v>
      </c>
      <c r="I111" s="212" t="s">
        <v>52</v>
      </c>
      <c r="J111" s="190" cm="1">
        <f t="array" ref="J111">_xlfn.SWITCH(F79,1,("NA"),2,(24),3,("NA"),4,(2430),5,(2401),6,(2430),7,(2430),8,(2430),9,(2430),10,(2530),12,(2530),14,(2630),17,(2430),19,(2630),23,(2530),27,(2530),35,(2630),43,(2630),44,(C85),45,("NA"),46,("NA"),)</f>
        <v>0</v>
      </c>
    </row>
    <row r="112" spans="1:10" x14ac:dyDescent="0.25">
      <c r="A112" s="2" t="str">
        <f>Language!B917</f>
        <v>Sidoskydd S3</v>
      </c>
      <c r="B112" s="1">
        <v>628</v>
      </c>
      <c r="D112" s="715">
        <v>1660</v>
      </c>
      <c r="E112" s="2" t="str">
        <f>440&amp;G91&amp;30</f>
        <v>44030</v>
      </c>
      <c r="F112" s="428">
        <v>6</v>
      </c>
      <c r="G112" s="267" t="str" cm="1">
        <f t="array" ref="G112">_xlfn.SWITCH(F79,1,("N/A"),2,(12),3,("N/A"),4,(12),5,(12),6,(12),7,(12),8,(12),9,(12),10,(12),11,(12),12,(12),13,(12),14,(12),16,(12),17,(12),18,(13),19,(13),22,(12),23,(12),26,(12),27,(12),34,(13),35,(13),42,(13),43,("N/A"),44,(""),45,("N/A"),46,("N/A"),47,(""),)</f>
        <v/>
      </c>
      <c r="H112" t="s">
        <v>159</v>
      </c>
      <c r="I112" s="212" t="s">
        <v>52</v>
      </c>
      <c r="J112" t="s">
        <v>169</v>
      </c>
    </row>
    <row r="113" spans="1:12" x14ac:dyDescent="0.25">
      <c r="A113" s="2" t="str">
        <f>Language!B918</f>
        <v>Armstöd</v>
      </c>
      <c r="B113" s="1">
        <v>1530</v>
      </c>
      <c r="D113" s="715">
        <v>2770</v>
      </c>
      <c r="E113" s="2" t="str">
        <f>440&amp;G112&amp;"00"</f>
        <v>44000</v>
      </c>
      <c r="F113" s="430"/>
      <c r="G113" s="267" t="str" cm="1">
        <f t="array" ref="G113">_xlfn.SWITCH(F79,1,("NO"),2,(1030),3,("NO"),4,(1030),5,(1030),6,(1030),7,(1030),8,(1030),9,(1530),10,(1530),11,(1530),12,(1530),13,(1530),14,(1530),16,(1030),17,(1030),18,(1630),19,(1630),22,(1530),23,(1530),26,(1530),27,(1530),34,(26),35,(1630),42,(1630),43,("NO"),44,(""),45,("NO"),46,("NO"),47,(""),)</f>
        <v/>
      </c>
      <c r="H113" s="212" t="s">
        <v>52</v>
      </c>
      <c r="I113" t="s">
        <v>86</v>
      </c>
      <c r="J113" s="212"/>
    </row>
    <row r="114" spans="1:12" x14ac:dyDescent="0.25">
      <c r="A114" s="2" t="str">
        <f>Language!B919</f>
        <v>Carbon Utan skärm</v>
      </c>
      <c r="B114" s="1">
        <v>750</v>
      </c>
      <c r="D114" s="715">
        <v>3730</v>
      </c>
      <c r="E114" s="2" t="str">
        <f>442&amp;G113</f>
        <v>442</v>
      </c>
      <c r="F114" s="430"/>
      <c r="G114" s="267" t="str" cm="1">
        <f t="array" ref="G114">_xlfn.SWITCH(F79,1,("NO"),2,(2030),3,("NO"),4,(2030),5,(2030),6,(2030),7,(2030),8,(2030),9,(2530),10,(2530),11,(2530),12,(2530),13,(2530),14,(2530),16,(2030),17,(2030),18,(2630),19,(2630),22,(2530),23,(2530),26,(2530),27,(2530),34,(2630),35,(2630),42,(2630),43,("NO"),44,(""),45,("NO"),46,("NO"),47,(""),)</f>
        <v/>
      </c>
      <c r="H114" s="212" t="s">
        <v>52</v>
      </c>
      <c r="I114" t="s">
        <v>87</v>
      </c>
      <c r="J114" s="212"/>
    </row>
    <row r="115" spans="1:12" x14ac:dyDescent="0.25">
      <c r="A115" s="2" t="str">
        <f>Language!B920</f>
        <v>Carbon Liten skärm</v>
      </c>
      <c r="B115" s="1">
        <v>800</v>
      </c>
      <c r="D115" s="715">
        <v>3730</v>
      </c>
      <c r="E115" s="2" t="str">
        <f>442&amp;G114</f>
        <v>442</v>
      </c>
      <c r="F115" s="430"/>
      <c r="G115" s="267" t="str" cm="1">
        <f t="array" ref="G115">_xlfn.SWITCH(F79,1,("NO"),2,(3030),3,("NO"),4,(3030),5,(3030),6,(3030),7,(3030),8,(3030),9,(3530),10,(3530),11,(3530),12,(3530),13,(3530),14,(3530),16,(3030),17,(3030),18,(3630),19,(3630),22,(3530),23,(3530),26,(3530),27,(3530),34,(3630),35,(3630),42,(3630),43,("NO"),44,(""),45,("NO"),46,("NO"),47,(""),)</f>
        <v/>
      </c>
      <c r="H115" s="212" t="s">
        <v>52</v>
      </c>
      <c r="I115" t="s">
        <v>88</v>
      </c>
      <c r="J115" s="212"/>
    </row>
    <row r="116" spans="1:12" x14ac:dyDescent="0.25">
      <c r="A116" s="2" t="str">
        <f>Language!B921</f>
        <v>Carbon Stor skärm</v>
      </c>
      <c r="B116" s="1">
        <v>900</v>
      </c>
      <c r="D116" s="715">
        <v>3730</v>
      </c>
      <c r="E116" s="2" t="str">
        <f>442&amp;G115</f>
        <v>442</v>
      </c>
      <c r="F116" s="430"/>
      <c r="G116" s="182" cm="1">
        <f t="array" ref="G116">_xlfn.SWITCH(F112,1,(D113),2,(D114),3,(D115),4,(D116),5,(D112),6,(0),7,(" "),8,0,)</f>
        <v>0</v>
      </c>
      <c r="H116" s="212" t="s">
        <v>43</v>
      </c>
    </row>
    <row r="117" spans="1:12" x14ac:dyDescent="0.25">
      <c r="A117" s="242"/>
      <c r="B117" s="189">
        <f>G117</f>
        <v>0</v>
      </c>
      <c r="C117" s="757"/>
      <c r="D117" s="189">
        <f>G116</f>
        <v>0</v>
      </c>
      <c r="E117" s="163" t="str">
        <f>J117</f>
        <v/>
      </c>
      <c r="F117" s="430"/>
      <c r="G117" s="267" cm="1">
        <f t="array" ref="G117">_xlfn.SWITCH(F112,1,(B113),2,(B114),3,(B115),4,(B116),5,(B112),6,(0),7,(0),8,0,)</f>
        <v>0</v>
      </c>
      <c r="H117" s="212" t="s">
        <v>69</v>
      </c>
      <c r="I117" s="212" t="s">
        <v>52</v>
      </c>
      <c r="J117" s="183" t="str" cm="1">
        <f t="array" ref="J117">_xlfn.SWITCH(F112,1,(E113),2,(E114),3,(E115),4,(E116),5,(E112),6,(""),7,(0),8,0,)</f>
        <v/>
      </c>
    </row>
    <row r="118" spans="1:12" x14ac:dyDescent="0.25">
      <c r="A118" s="2"/>
      <c r="B118" s="1"/>
      <c r="F118" s="428">
        <v>5</v>
      </c>
    </row>
    <row r="119" spans="1:12" x14ac:dyDescent="0.25">
      <c r="A119" s="2" t="str">
        <f>Language!B922</f>
        <v>Körhandtag HS</v>
      </c>
      <c r="B119" s="1">
        <v>712</v>
      </c>
      <c r="D119" s="715">
        <v>1925</v>
      </c>
      <c r="E119" s="2" t="s">
        <v>45</v>
      </c>
      <c r="F119" s="430"/>
      <c r="G119" s="267" t="str" cm="1">
        <f t="array" ref="G119">_xlfn.SWITCH(F118,1,(A121),2,(A122),3,(A119),4,(A120),5,(""),6,(A68),7,(""),8,0,)</f>
        <v/>
      </c>
      <c r="H119" s="212" t="s">
        <v>125</v>
      </c>
    </row>
    <row r="120" spans="1:12" x14ac:dyDescent="0.25">
      <c r="A120" s="2" t="str">
        <f>Language!B923</f>
        <v>Körhandtag HS +10cm</v>
      </c>
      <c r="B120" s="1">
        <v>950</v>
      </c>
      <c r="D120" s="715">
        <v>1925</v>
      </c>
      <c r="E120" s="2" t="s">
        <v>15</v>
      </c>
      <c r="F120" s="430"/>
      <c r="G120" s="267" cm="1">
        <f t="array" ref="G120">_xlfn.SWITCH(F118,1,(B121),2,(B122),3,(B119),4,(B120),5,(0),6,(B68),7,(0),8,0,)</f>
        <v>0</v>
      </c>
      <c r="H120" s="212" t="s">
        <v>69</v>
      </c>
    </row>
    <row r="121" spans="1:12" x14ac:dyDescent="0.25">
      <c r="A121" s="2" t="str">
        <f>Language!B924</f>
        <v xml:space="preserve">Fällbara körhandtag </v>
      </c>
      <c r="B121" s="1">
        <v>244</v>
      </c>
      <c r="D121" s="715">
        <v>860</v>
      </c>
      <c r="E121" s="2">
        <v>4245000</v>
      </c>
      <c r="F121" s="430"/>
      <c r="G121" s="267" t="str" cm="1">
        <f t="array" ref="G121">_xlfn.SWITCH(F118,1,(E121),2,(E122),3,(E119),4,(E120),5,(""),6,(E68),7,(" "),8,0,)</f>
        <v/>
      </c>
      <c r="H121" s="212" t="s">
        <v>52</v>
      </c>
    </row>
    <row r="122" spans="1:12" x14ac:dyDescent="0.25">
      <c r="A122" s="2" t="str">
        <f>Language!B925</f>
        <v>Körbåge</v>
      </c>
      <c r="B122" s="1">
        <v>1040</v>
      </c>
      <c r="D122" s="715">
        <v>1361</v>
      </c>
      <c r="E122" s="2" t="str">
        <f>42400&amp;G24&amp;G36</f>
        <v>42400 VER2</v>
      </c>
      <c r="F122" s="430"/>
      <c r="G122" s="267" cm="1">
        <f t="array" ref="G122">_xlfn.SWITCH(F118,1,(D121),2,(D122),3,(D119),4,(D120),5,(0),6,(D68),7,(0),8,0,)</f>
        <v>0</v>
      </c>
      <c r="H122" s="212" t="s">
        <v>43</v>
      </c>
    </row>
    <row r="123" spans="1:12" x14ac:dyDescent="0.25">
      <c r="A123" s="242"/>
      <c r="B123" s="189">
        <f>G120</f>
        <v>0</v>
      </c>
      <c r="C123" s="757"/>
      <c r="D123" s="189">
        <f>G122</f>
        <v>0</v>
      </c>
      <c r="E123" s="164" t="str">
        <f>G121</f>
        <v/>
      </c>
      <c r="F123" s="430"/>
    </row>
    <row r="124" spans="1:12" x14ac:dyDescent="0.25">
      <c r="A124" s="2"/>
      <c r="B124" s="1">
        <v>570</v>
      </c>
      <c r="D124" s="479">
        <v>1218</v>
      </c>
      <c r="F124" s="430"/>
      <c r="G124" s="164" t="str">
        <f>435&amp;H124</f>
        <v>4353000</v>
      </c>
      <c r="H124" s="183" t="str" cm="1">
        <f t="array" ref="H124">_xlfn.SWITCH(F2,1,("3000"),2,("5000"),3,("3080"),4,("3000"),5,("3000"),6,("3000"),7,("3000"),8,(""),9,(" "),)</f>
        <v>3000</v>
      </c>
    </row>
    <row r="125" spans="1:12" x14ac:dyDescent="0.25">
      <c r="A125" s="242" t="str">
        <f>Language!B926</f>
        <v>Tippskydd</v>
      </c>
      <c r="B125" s="189" t="str" cm="1">
        <f t="array" ref="B125">_xlfn.SWITCH(F125,TRUE,(B124),"0")</f>
        <v>0</v>
      </c>
      <c r="C125" s="234"/>
      <c r="D125" s="189" t="str" cm="1">
        <f t="array" ref="D125">_xlfn.SWITCH(F125,TRUE,(D124),"0")</f>
        <v>0</v>
      </c>
      <c r="E125" s="163" t="str" cm="1">
        <f t="array" ref="E125">_xlfn.SWITCH(F125,TRUE,(G124),"")</f>
        <v/>
      </c>
      <c r="F125" s="428" t="b">
        <v>0</v>
      </c>
      <c r="G125" s="164" t="str" cm="1">
        <f t="array" ref="G125">_xlfn.SWITCH(F125,TRUE,("JA"),"")</f>
        <v/>
      </c>
      <c r="H125" s="212" t="s">
        <v>125</v>
      </c>
    </row>
    <row r="126" spans="1:12" x14ac:dyDescent="0.25">
      <c r="A126" s="2"/>
      <c r="B126" s="1"/>
      <c r="F126" s="430"/>
      <c r="G126" s="267" cm="1">
        <f t="array" ref="G126">_xlfn.SWITCH(F127,1,(0),2,(D128),3,(D66),4,(D128),5,(D127),6,(D127),7,(0),8,0,)</f>
        <v>0</v>
      </c>
      <c r="H126" s="212" t="s">
        <v>43</v>
      </c>
    </row>
    <row r="127" spans="1:12" x14ac:dyDescent="0.25">
      <c r="A127" s="2" t="str">
        <f>Language!B927</f>
        <v>Dyna 2.5 cm</v>
      </c>
      <c r="B127" s="1">
        <v>0</v>
      </c>
      <c r="D127" s="715">
        <v>836</v>
      </c>
      <c r="E127" s="2" t="str">
        <f>572&amp;G24&amp;J127</f>
        <v>57240</v>
      </c>
      <c r="F127" s="428">
        <v>1</v>
      </c>
      <c r="G127" s="267" t="str" cm="1">
        <f t="array" ref="G127">_xlfn.SWITCH(F127,1,(""),2,(E128),3,(E127),4,(E128),5,(E127),6,(E127),7,(" "),8,0,)</f>
        <v/>
      </c>
      <c r="H127" s="212" t="s">
        <v>52</v>
      </c>
      <c r="J127" s="183" cm="1">
        <f t="array" ref="J127">_xlfn.SWITCH(F2,1,(40),2,(40),3,(35),4,(40),5,(""),)</f>
        <v>40</v>
      </c>
      <c r="K127" s="212" t="s">
        <v>52</v>
      </c>
      <c r="L127" t="s">
        <v>5152</v>
      </c>
    </row>
    <row r="128" spans="1:12" x14ac:dyDescent="0.25">
      <c r="A128" s="2" t="str">
        <f>Language!B928</f>
        <v>Dyna 5 cm</v>
      </c>
      <c r="B128" s="1">
        <v>0</v>
      </c>
      <c r="D128" s="715">
        <v>836</v>
      </c>
      <c r="E128" s="2" t="str">
        <f>575&amp;G24&amp;J127</f>
        <v>57540</v>
      </c>
      <c r="F128" s="430"/>
    </row>
    <row r="129" spans="1:13" x14ac:dyDescent="0.25">
      <c r="A129" s="242"/>
      <c r="B129" s="189">
        <v>0</v>
      </c>
      <c r="C129" s="757"/>
      <c r="D129" s="723">
        <f>G126</f>
        <v>0</v>
      </c>
      <c r="E129" s="163" t="str">
        <f>G127</f>
        <v/>
      </c>
      <c r="F129" s="430"/>
      <c r="G129" s="267" t="str" cm="1">
        <f t="array" ref="G129">_xlfn.SWITCH(F127,1,(""),2,(A128),3,(A127),4,(A128),5,(A127),6,(A127),7,(" "),8,0,)</f>
        <v/>
      </c>
      <c r="H129" s="212" t="s">
        <v>125</v>
      </c>
    </row>
    <row r="130" spans="1:13" x14ac:dyDescent="0.25">
      <c r="A130" s="2"/>
      <c r="B130" s="1">
        <v>0</v>
      </c>
      <c r="D130" s="479">
        <v>293</v>
      </c>
      <c r="F130" s="430"/>
      <c r="G130" s="267" t="str">
        <f>57710&amp;G24</f>
        <v>57710</v>
      </c>
      <c r="H130" s="212" t="s">
        <v>52</v>
      </c>
    </row>
    <row r="131" spans="1:13" x14ac:dyDescent="0.25">
      <c r="A131" s="242" t="str">
        <f>Language!B929</f>
        <v>Kildyna</v>
      </c>
      <c r="B131" s="234">
        <v>0</v>
      </c>
      <c r="C131" s="234"/>
      <c r="D131" s="723" t="str" cm="1">
        <f t="array" ref="D131">_xlfn.SWITCH(F131,TRUE,(D130),"0")</f>
        <v>0</v>
      </c>
      <c r="E131" s="163" t="str" cm="1">
        <f t="array" ref="E131">_xlfn.SWITCH(F131,TRUE,(G130),"")</f>
        <v/>
      </c>
      <c r="F131" s="428" t="b">
        <v>0</v>
      </c>
      <c r="G131" s="267" t="str" cm="1">
        <f t="array" ref="G131">_xlfn.SWITCH(F131,TRUE,("JA"),"")</f>
        <v/>
      </c>
      <c r="H131" s="212" t="s">
        <v>125</v>
      </c>
    </row>
    <row r="132" spans="1:13" x14ac:dyDescent="0.25">
      <c r="A132" s="2"/>
      <c r="B132" s="1"/>
      <c r="F132" s="430"/>
      <c r="G132" s="267" cm="1">
        <f t="array" ref="G132">_xlfn.SWITCH(F133,1,(B134),2,(0),3,(B133),4,(C121),5,(C122),6,(C68),7,(0),8,0,)</f>
        <v>0</v>
      </c>
      <c r="H132" s="164"/>
      <c r="I132" s="212" t="s">
        <v>69</v>
      </c>
    </row>
    <row r="133" spans="1:13" x14ac:dyDescent="0.25">
      <c r="A133" s="2" t="str">
        <f>Language!B930</f>
        <v>Ekerskydd med logga</v>
      </c>
      <c r="B133" s="1">
        <v>417</v>
      </c>
      <c r="D133" s="479">
        <v>909</v>
      </c>
      <c r="E133" s="2" t="str">
        <f>4500&amp;H133</f>
        <v>45000</v>
      </c>
      <c r="F133" s="428">
        <v>2</v>
      </c>
      <c r="G133" s="266" t="str" cm="1">
        <f t="array" ref="G133">_xlfn.SWITCH(F133,1,(E134),2,(""),3,(E133),4,(E121),5,(E122),6,(E68),7,(" "),8,0,)</f>
        <v/>
      </c>
      <c r="H133" s="164" cm="1">
        <f t="array" ref="H133">_xlfn.SWITCH(F79,1,("100"),2,("000"),3,("100"),4,("000"),5,(2401),6,("000"),7,("000"),8,("000"),9,("000"),10,("NA"),12,("NA"),14,("NA"),17,("000"),16,("000"),19,("NA"),23,("NA"),27,("NA"),35,("NA"),43,("NA"),44,(C85),45,("100"),46,("100"),)</f>
        <v>0</v>
      </c>
      <c r="I133" s="212" t="s">
        <v>52</v>
      </c>
      <c r="J133" s="183" cm="1">
        <f t="array" ref="J133">_xlfn.SWITCH(F79,1,("111"),2,("011"),3,("111"),4,("011"),5,("011"),6,("011"),7,("011"),8,("011"),9,("011"),10,("NA"),12,("NA"),14,("NA"),17,("011"),19,("NA"),23,("NA"),27,("NA"),35,("NA"),43,("NA"),44,(C85),45,("111"),46,("111"),)</f>
        <v>0</v>
      </c>
      <c r="K133" s="212" t="s">
        <v>170</v>
      </c>
    </row>
    <row r="134" spans="1:13" x14ac:dyDescent="0.25">
      <c r="A134" s="2" t="str">
        <f>Language!B931</f>
        <v>Ekerskydd utan logga</v>
      </c>
      <c r="B134" s="1">
        <v>417</v>
      </c>
      <c r="D134" s="479">
        <v>909</v>
      </c>
      <c r="E134" s="2" t="str">
        <f>4500&amp;H134</f>
        <v>45000</v>
      </c>
      <c r="F134" s="430"/>
      <c r="G134" s="267" cm="1">
        <f t="array" ref="G134">_xlfn.SWITCH(F133,1,(D134),2,(0),3,(D133),4,(D121),5,(D122),6,(D68),7,(0),8,0,)</f>
        <v>0</v>
      </c>
      <c r="H134" s="164" cm="1">
        <f t="array" ref="H134">_xlfn.SWITCH(F79,1,(112),2,(C95),3,(112),4,(""),5,("011"),6,("011"),7,("011"),8,("00"),9,("011"),10,("NA"),11,(25),12,("NA"),13,(C88),15,("011"),16,("011"),18,(C80),19,("NA"),20,(C90),22,("NA"),24,(C91),29,("NA"),36,("NA"),44,(C94),)</f>
        <v>0</v>
      </c>
      <c r="I134" s="212" t="s">
        <v>43</v>
      </c>
      <c r="J134" s="164" t="str" cm="1">
        <f t="array" ref="J134">_xlfn.SWITCH(F79,1,(22),2,(24),3,(22),4,(24),5,(24),6,(24),7,(24),8,(24),9,(25),10,(25),11,(25),12,(25),13,(25),14,(25),16,(22),17,(24),18,(26),19,(26),22,(25),23,(25),26,(25),27,(25),34,(26),35,(26),42,(26),43,(22),44,(""),45,(22),46,(22),47,(""),)</f>
        <v/>
      </c>
      <c r="K134" t="s">
        <v>386</v>
      </c>
    </row>
    <row r="135" spans="1:13" x14ac:dyDescent="0.25">
      <c r="A135" s="242"/>
      <c r="B135" s="189">
        <f>G132</f>
        <v>0</v>
      </c>
      <c r="C135" s="757"/>
      <c r="D135" s="725">
        <f>G134</f>
        <v>0</v>
      </c>
      <c r="E135" s="163" t="str">
        <f>G133</f>
        <v/>
      </c>
      <c r="F135" s="430"/>
      <c r="G135" s="267" t="str" cm="1">
        <f t="array" ref="G135">_xlfn.SWITCH(F133,1,("No logo"),2,(""),3,(A133),4,(C121),5,(C122),6,(C68),7,(""),8,0,)</f>
        <v/>
      </c>
      <c r="H135" s="212" t="s">
        <v>125</v>
      </c>
      <c r="J135" s="164" cm="1">
        <f t="array" ref="J135">_xlfn.SWITCH(H81,1,(112),2,(E97),3,(112),4,(""),5,("011"),6,("011"),7,("011"),8,("00"),9,("011"),10,("NA"),11,(25),12,("NA"),13,(E90),15,("011"),16,("NA"),18,(E82),19,("NA"),20,(E92),22,("NA"),24,(E93),29,("NA"),36,("NA"),44,(E96),)</f>
        <v>0</v>
      </c>
      <c r="K135" t="s">
        <v>386</v>
      </c>
    </row>
    <row r="136" spans="1:13" x14ac:dyDescent="0.25">
      <c r="A136" s="2" t="str">
        <f>Language!B932</f>
        <v>Ekerskydd med tema</v>
      </c>
      <c r="B136" s="1"/>
      <c r="F136" s="430"/>
      <c r="G136" s="181"/>
    </row>
    <row r="137" spans="1:13" x14ac:dyDescent="0.25">
      <c r="A137" s="2" t="str">
        <f>Language!B933</f>
        <v>Splash</v>
      </c>
      <c r="B137" s="1">
        <v>417</v>
      </c>
      <c r="D137" s="715">
        <v>1638</v>
      </c>
      <c r="E137" s="2" t="str">
        <f>45003&amp;G138</f>
        <v>450030</v>
      </c>
      <c r="F137" s="428">
        <v>5</v>
      </c>
      <c r="G137" s="267" t="str" cm="1">
        <f t="array" ref="G137">_xlfn.SWITCH(F137,1,(A137),2,(A138),3,(A139),4,(A140),5,(""),6,(A127),7,(""),8,0,)</f>
        <v/>
      </c>
      <c r="H137" s="212" t="s">
        <v>125</v>
      </c>
    </row>
    <row r="138" spans="1:13" x14ac:dyDescent="0.25">
      <c r="A138" s="2" t="str">
        <f>Language!B934</f>
        <v>Car rim</v>
      </c>
      <c r="B138" s="1">
        <v>417</v>
      </c>
      <c r="D138" s="715">
        <v>1638</v>
      </c>
      <c r="E138" s="2" t="str">
        <f>45001&amp;G138</f>
        <v>450010</v>
      </c>
      <c r="F138" s="430"/>
      <c r="G138" s="267" cm="1">
        <f t="array" ref="G138">_xlfn.SWITCH(F79,1,(22),2,(24),3,(22),4,(24),5,(24),6,(24),7,(24),8,(24),9,(24),10,("NA"),12,("NA"),14,("NA"),16,(24),17,(24),19,("NA"),23,("NA"),27,("NA"),35,("NA"),43,("NA"),44,(C85),45,(22),46,(22),)</f>
        <v>0</v>
      </c>
      <c r="H138" t="s">
        <v>172</v>
      </c>
      <c r="J138" cm="1">
        <f t="array" ref="J138">_xlfn.SWITCH(F79,1,(22),2,(24),3,(22),4,(24),5,(24),6,(24),7,(24),8,(24),9,(24),10,("NA"),12,("NA"),14,("NA"),17,(24),19,("NA"),23,("NA"),27,("NA"),35,("NA"),43,("NA"),44,(C85),45,(22),46,(22),)</f>
        <v>0</v>
      </c>
    </row>
    <row r="139" spans="1:13" x14ac:dyDescent="0.25">
      <c r="A139" s="2" t="str">
        <f>Language!B935</f>
        <v>Wild animals</v>
      </c>
      <c r="B139" s="1">
        <v>417</v>
      </c>
      <c r="D139" s="715">
        <v>1638</v>
      </c>
      <c r="E139" s="2" t="str">
        <f>45004&amp;G138</f>
        <v>450040</v>
      </c>
      <c r="F139" s="430"/>
      <c r="G139" s="267" cm="1">
        <f t="array" ref="G139">_xlfn.SWITCH(F137,1,(B137),2,(B138),3,(B139),4,(B140),5,(0),6,(B127),7,(0),8,0,)</f>
        <v>0</v>
      </c>
      <c r="H139" s="212" t="s">
        <v>69</v>
      </c>
    </row>
    <row r="140" spans="1:13" x14ac:dyDescent="0.25">
      <c r="A140" s="2" t="str">
        <f>Language!B936</f>
        <v>Smiley</v>
      </c>
      <c r="B140" s="1">
        <v>417</v>
      </c>
      <c r="D140" s="715">
        <v>1638</v>
      </c>
      <c r="E140" s="2" t="str">
        <f>45002&amp;G138</f>
        <v>450020</v>
      </c>
      <c r="F140" s="430"/>
      <c r="G140" s="267" t="str" cm="1">
        <f t="array" ref="G140">_xlfn.SWITCH(F137,1,(E137),2,(E138),3,(E139),4,(E140),5,(""),6,(E127),7,(" "),8,0,)</f>
        <v/>
      </c>
      <c r="H140" s="212" t="s">
        <v>52</v>
      </c>
    </row>
    <row r="141" spans="1:13" x14ac:dyDescent="0.25">
      <c r="A141" s="242"/>
      <c r="B141" s="189">
        <f>G139</f>
        <v>0</v>
      </c>
      <c r="C141" s="757"/>
      <c r="D141" s="723">
        <f>G141</f>
        <v>0</v>
      </c>
      <c r="E141" s="163" t="str">
        <f>G140</f>
        <v/>
      </c>
      <c r="F141" s="430"/>
      <c r="G141" s="267" cm="1">
        <f t="array" ref="G141">_xlfn.SWITCH(F137,1,(D137),2,(D138),3,(D139),4,(D140),5,(0),6,(D127),7,(0),8,0,)</f>
        <v>0</v>
      </c>
      <c r="H141" s="212" t="s">
        <v>43</v>
      </c>
    </row>
    <row r="142" spans="1:13" x14ac:dyDescent="0.25">
      <c r="A142" s="2"/>
      <c r="B142" s="1"/>
      <c r="F142" s="430"/>
      <c r="H142" s="762" t="s">
        <v>69</v>
      </c>
      <c r="L142" s="212" t="s">
        <v>52</v>
      </c>
      <c r="M142" s="212" t="s">
        <v>43</v>
      </c>
    </row>
    <row r="143" spans="1:13" x14ac:dyDescent="0.25">
      <c r="A143" s="2" t="str">
        <f>Language!B937</f>
        <v>Rörskydd, fram</v>
      </c>
      <c r="B143" s="1" cm="1">
        <f t="array" ref="B143">_xlfn.SWITCH(F143,TRUE,(132),)</f>
        <v>0</v>
      </c>
      <c r="C143" s="1" cm="1">
        <f t="array" ref="C143">_xlfn.SWITCH(F143,TRUE,(15),)</f>
        <v>0</v>
      </c>
      <c r="D143" s="715" cm="1">
        <f t="array" ref="D143">_xlfn.SWITCH(F143,TRUE,(M143),)*2</f>
        <v>0</v>
      </c>
      <c r="E143" s="34">
        <v>9900251</v>
      </c>
      <c r="F143" s="428" t="b">
        <v>0</v>
      </c>
      <c r="H143" s="190">
        <v>132</v>
      </c>
      <c r="I143" s="183" t="str" cm="1">
        <f t="array" ref="I143">_xlfn.SWITCH(F143,TRUE,(Language!B943),"")</f>
        <v/>
      </c>
      <c r="J143" s="212" t="s">
        <v>125</v>
      </c>
      <c r="L143" s="190" t="str" cm="1">
        <f t="array" ref="L143">_xlfn.SWITCH(F143,TRUE,(E143),"")</f>
        <v/>
      </c>
      <c r="M143" s="183">
        <v>88</v>
      </c>
    </row>
    <row r="144" spans="1:13" x14ac:dyDescent="0.25">
      <c r="A144" s="2" t="str">
        <f>Language!B938</f>
        <v>Rörskydd, Bak</v>
      </c>
      <c r="B144" s="1" cm="1">
        <f t="array" ref="B144">_xlfn.SWITCH(F144,TRUE,(66),)</f>
        <v>0</v>
      </c>
      <c r="C144" s="1" cm="1">
        <f t="array" ref="C144">_xlfn.SWITCH(F144,TRUE,(15),)</f>
        <v>0</v>
      </c>
      <c r="D144" s="715" cm="1">
        <f t="array" ref="D144">_xlfn.SWITCH(F144,TRUE,(M144),)</f>
        <v>0</v>
      </c>
      <c r="E144" s="34">
        <v>9900251</v>
      </c>
      <c r="F144" s="428" t="b">
        <v>0</v>
      </c>
      <c r="H144" s="190">
        <v>66</v>
      </c>
      <c r="I144" s="183" t="str" cm="1">
        <f t="array" ref="I144">_xlfn.SWITCH(F144,TRUE,(Language!B943),"")</f>
        <v/>
      </c>
      <c r="J144" s="212" t="s">
        <v>125</v>
      </c>
      <c r="L144" s="190" t="str" cm="1">
        <f t="array" ref="L144">_xlfn.SWITCH(F144,TRUE,(E144),"")</f>
        <v/>
      </c>
      <c r="M144" s="183">
        <v>88</v>
      </c>
    </row>
    <row r="145" spans="1:13" x14ac:dyDescent="0.25">
      <c r="A145" s="2" t="str">
        <f>Language!B939</f>
        <v>Kryckkäpsshållare S3</v>
      </c>
      <c r="B145" s="1" cm="1">
        <f t="array" ref="B145">_xlfn.SWITCH(F145,TRUE,(46),)*('S3 Swing models'!D143)</f>
        <v>0</v>
      </c>
      <c r="C145" s="1" cm="1">
        <f t="array" ref="C145">_xlfn.SWITCH(F145,TRUE,(39),)*(D145)</f>
        <v>0</v>
      </c>
      <c r="D145" s="715" cm="1">
        <f t="array" ref="D145">_xlfn.SWITCH(F145,TRUE,(M145),)*('S3 Swing models'!D143)</f>
        <v>0</v>
      </c>
      <c r="E145" s="34">
        <v>9900301</v>
      </c>
      <c r="F145" s="428" t="b">
        <v>0</v>
      </c>
      <c r="G145" s="765"/>
      <c r="H145" s="190">
        <v>46</v>
      </c>
      <c r="I145" s="183" t="str" cm="1">
        <f t="array" ref="I145">_xlfn.SWITCH(F145,TRUE,(Language!B943),"")</f>
        <v/>
      </c>
      <c r="J145" s="212" t="s">
        <v>125</v>
      </c>
      <c r="L145" s="190" t="str" cm="1">
        <f t="array" ref="L145">_xlfn.SWITCH(F145,TRUE,(E145),"")</f>
        <v/>
      </c>
      <c r="M145" s="183">
        <v>293</v>
      </c>
    </row>
    <row r="146" spans="1:13" x14ac:dyDescent="0.25">
      <c r="A146" s="2" t="str">
        <f>Language!B940</f>
        <v>Ryggkil</v>
      </c>
      <c r="B146" s="1" cm="1">
        <f t="array" ref="B146">_xlfn.SWITCH(F146,TRUE,(40),)*('S3 Swing models'!D145)</f>
        <v>0</v>
      </c>
      <c r="C146" s="1" cm="1">
        <f t="array" ref="C146">_xlfn.SWITCH(F146,TRUE,(84),)*(D146)</f>
        <v>0</v>
      </c>
      <c r="D146" s="715" cm="1">
        <f t="array" ref="D146">_xlfn.SWITCH(F146,TRUE,(M146),)*('S3 Swing models'!D145)</f>
        <v>0</v>
      </c>
      <c r="E146" s="34">
        <v>4710012</v>
      </c>
      <c r="F146" s="428" t="b">
        <v>0</v>
      </c>
      <c r="G146" s="765"/>
      <c r="H146" s="190">
        <v>40</v>
      </c>
      <c r="I146" s="183" t="str" cm="1">
        <f t="array" ref="I146">_xlfn.SWITCH(F146,TRUE,(Language!B943),"")</f>
        <v/>
      </c>
      <c r="J146" s="212" t="s">
        <v>125</v>
      </c>
      <c r="L146" s="190" t="str" cm="1">
        <f t="array" ref="L146">_xlfn.SWITCH(F146,TRUE,(E146),"")</f>
        <v/>
      </c>
      <c r="M146" s="183">
        <v>431</v>
      </c>
    </row>
    <row r="147" spans="1:13" x14ac:dyDescent="0.25">
      <c r="A147" s="2" t="str">
        <f>Language!B941</f>
        <v>Freewheel</v>
      </c>
      <c r="B147" s="1" cm="1">
        <f t="array" ref="B147">_xlfn.SWITCH(F147,TRUE,(2600),)</f>
        <v>0</v>
      </c>
      <c r="C147" s="1" cm="1">
        <f t="array" ref="C147">_xlfn.SWITCH(F147,TRUE,(715),)</f>
        <v>0</v>
      </c>
      <c r="D147" s="715" cm="1">
        <f t="array" ref="D147">_xlfn.SWITCH(F147,TRUE,(M147),)</f>
        <v>0</v>
      </c>
      <c r="E147" s="110" t="str">
        <f>'S3 Swing models'!C149</f>
        <v>Välj Freewheel</v>
      </c>
      <c r="F147" s="428" t="b">
        <v>0</v>
      </c>
      <c r="H147" s="190">
        <v>2600</v>
      </c>
      <c r="I147" s="183" t="str" cm="1">
        <f t="array" ref="I147">_xlfn.SWITCH(F147,TRUE,(Language!B943),"")</f>
        <v/>
      </c>
      <c r="J147" s="212" t="s">
        <v>125</v>
      </c>
      <c r="K147" s="97" cm="1">
        <f t="array" ref="K147">_xlfn.SWITCH(C155,1,(Weights!A36),2,(Weights!A37),3,(Weights!A42),4,(Weights!A44),5,(Weights!A45),6,(Weights!A46),7,(""),8,"",)</f>
        <v>0</v>
      </c>
      <c r="L147" s="190" t="str" cm="1">
        <f t="array" ref="L147">_xlfn.SWITCH(F147,TRUE,(E147),"")</f>
        <v/>
      </c>
      <c r="M147" s="183">
        <v>5781</v>
      </c>
    </row>
    <row r="148" spans="1:13" x14ac:dyDescent="0.25">
      <c r="A148" s="242" t="str">
        <f>Language!B942</f>
        <v>Bord S3</v>
      </c>
      <c r="B148" s="234" cm="1">
        <f t="array" ref="B148">_xlfn.SWITCH(F148,TRUE,(0),)</f>
        <v>0</v>
      </c>
      <c r="C148" s="234" cm="1">
        <f t="array" ref="C148">_xlfn.SWITCH(F148,TRUE,(220),)</f>
        <v>0</v>
      </c>
      <c r="D148" s="763" cm="1">
        <f t="array" ref="D148">_xlfn.SWITCH(F148,TRUE,(M148),)</f>
        <v>0</v>
      </c>
      <c r="E148" s="760">
        <v>6810020</v>
      </c>
      <c r="F148" s="761" t="b">
        <v>0</v>
      </c>
      <c r="H148" s="190">
        <v>0</v>
      </c>
      <c r="I148" s="183" t="str" cm="1">
        <f t="array" ref="I148">_xlfn.SWITCH(F148,TRUE,("JA"),"")</f>
        <v/>
      </c>
      <c r="J148" s="212" t="s">
        <v>125</v>
      </c>
      <c r="K148" s="97"/>
      <c r="L148" s="190" t="str" cm="1">
        <f t="array" ref="L148">_xlfn.SWITCH(F148,TRUE,(E148),"")</f>
        <v/>
      </c>
      <c r="M148" s="183">
        <v>2077</v>
      </c>
    </row>
    <row r="149" spans="1:13" x14ac:dyDescent="0.25">
      <c r="A149" s="68"/>
      <c r="B149" s="241" t="s">
        <v>4853</v>
      </c>
      <c r="C149" s="241"/>
      <c r="D149" s="241" t="s">
        <v>43</v>
      </c>
      <c r="E149" s="64"/>
      <c r="F149" s="435"/>
      <c r="G149" s="50"/>
      <c r="H149" s="64"/>
      <c r="I149" s="130"/>
      <c r="J149" s="64"/>
      <c r="K149" s="97"/>
    </row>
    <row r="150" spans="1:13" ht="18.75" x14ac:dyDescent="0.3">
      <c r="A150" s="68"/>
      <c r="B150" s="250">
        <f>B10+B33+B43+B51+B56+B62+B69+B71+B71+B78+B97+B110+B117+B123+B125+B135+B141+B143+B144+B145+B146+B147+B148</f>
        <v>0</v>
      </c>
      <c r="C150" s="759"/>
      <c r="D150" s="764">
        <f>D10+D15+D25+D33+D43+D51+D56+D62+D69+D71+D78+D97+D103+D110+D117+D123+D125+D129+D131+D135+D141+D143+D144+D145+D146+D147+D148</f>
        <v>0</v>
      </c>
      <c r="E150" s="759"/>
      <c r="F150" s="435"/>
      <c r="G150" s="111"/>
      <c r="H150" s="182" t="str" cm="1">
        <f t="array" ref="H150">_xlfn.SWITCH(F2,1,(Language!B80),2,("Standard 40 mm"),3,("Standard=25 mm"),4,(""),5,("Standard = 40 mm"),)</f>
        <v/>
      </c>
      <c r="I150" s="495" t="s">
        <v>99</v>
      </c>
      <c r="J150" s="495"/>
      <c r="K150" s="496"/>
    </row>
    <row r="151" spans="1:13" x14ac:dyDescent="0.25">
      <c r="A151" s="68"/>
      <c r="B151" s="64"/>
      <c r="C151" s="50"/>
      <c r="D151" s="50"/>
      <c r="E151" s="64"/>
      <c r="F151" s="436"/>
      <c r="H151" s="64"/>
      <c r="I151" s="154"/>
      <c r="J151" s="64"/>
      <c r="K151" s="97"/>
    </row>
    <row r="152" spans="1:13" x14ac:dyDescent="0.25">
      <c r="A152" s="152"/>
      <c r="B152" s="64"/>
      <c r="C152" s="50"/>
      <c r="D152" s="50"/>
      <c r="E152" s="153"/>
      <c r="F152" s="245"/>
      <c r="H152" s="64"/>
      <c r="I152" s="64"/>
      <c r="J152" s="64"/>
      <c r="K152" s="97"/>
    </row>
    <row r="153" spans="1:13" x14ac:dyDescent="0.25">
      <c r="A153" s="155"/>
      <c r="B153" s="64"/>
      <c r="C153" s="97"/>
      <c r="D153" s="97"/>
      <c r="E153" s="426"/>
      <c r="F153" s="245"/>
      <c r="H153" s="64"/>
      <c r="I153" s="64"/>
      <c r="J153" s="156"/>
      <c r="K153" s="97"/>
    </row>
    <row r="154" spans="1:13" x14ac:dyDescent="0.25">
      <c r="A154" s="155"/>
      <c r="B154" s="255" t="str">
        <f>Language!B945</f>
        <v>Sitthöjd</v>
      </c>
      <c r="C154" s="97"/>
      <c r="D154" s="97"/>
      <c r="E154" s="255" t="str">
        <f>Language!B951</f>
        <v>Välj Freewheel</v>
      </c>
      <c r="F154" s="245"/>
      <c r="H154" s="64"/>
      <c r="I154" s="64"/>
      <c r="J154" s="64"/>
      <c r="K154" s="97"/>
    </row>
    <row r="155" spans="1:13" x14ac:dyDescent="0.25">
      <c r="A155" s="155"/>
      <c r="B155" s="251" t="str">
        <f>Language!B946</f>
        <v>+10 mm</v>
      </c>
      <c r="C155" s="97"/>
      <c r="D155" s="97"/>
      <c r="E155" s="251" t="str">
        <f>Language!B952</f>
        <v>Höjd 6-14cm, art: 2600102</v>
      </c>
      <c r="F155" s="245"/>
      <c r="H155" s="64"/>
      <c r="I155" s="64"/>
      <c r="J155" s="64"/>
      <c r="K155" s="97"/>
    </row>
    <row r="156" spans="1:13" x14ac:dyDescent="0.25">
      <c r="A156" s="155"/>
      <c r="B156" s="251" t="str">
        <f>Language!B947</f>
        <v>+20 mm</v>
      </c>
      <c r="C156" s="97"/>
      <c r="D156" s="97"/>
      <c r="E156" s="251" t="str">
        <f>Language!B953</f>
        <v>Höjd 11,5-16,5cm, art: 2600105</v>
      </c>
      <c r="F156" s="245"/>
      <c r="H156" s="64"/>
      <c r="I156" s="64"/>
      <c r="J156" s="64"/>
      <c r="K156" s="97"/>
    </row>
    <row r="157" spans="1:13" x14ac:dyDescent="0.25">
      <c r="A157" s="155"/>
      <c r="B157" s="251" t="str">
        <f>Language!B948</f>
        <v>+30 mm</v>
      </c>
      <c r="C157" s="97"/>
      <c r="D157" s="97"/>
      <c r="E157" s="251" t="str">
        <f>Language!B954</f>
        <v>Höjd 14-19 cm, art: 2600106</v>
      </c>
      <c r="F157" s="245"/>
      <c r="H157" s="64"/>
      <c r="I157" s="64"/>
      <c r="J157" s="64"/>
      <c r="K157" s="97"/>
    </row>
    <row r="158" spans="1:13" x14ac:dyDescent="0.25">
      <c r="A158" s="68"/>
      <c r="B158" s="251" t="str">
        <f>Language!B949</f>
        <v>+40 mm</v>
      </c>
      <c r="C158" s="97"/>
      <c r="D158" s="97"/>
      <c r="E158" s="251" t="str">
        <f>Language!B955</f>
        <v>Höjd 16,5-21,5 cm, art: 2600107</v>
      </c>
      <c r="F158" s="245"/>
      <c r="H158" s="64"/>
      <c r="I158" s="64"/>
      <c r="J158" s="64"/>
      <c r="K158" s="97"/>
    </row>
    <row r="159" spans="1:13" x14ac:dyDescent="0.25">
      <c r="A159" s="68"/>
      <c r="B159" s="251" t="str">
        <f>Language!B950</f>
        <v>+50 mm</v>
      </c>
      <c r="C159" s="97"/>
      <c r="D159" s="97"/>
      <c r="E159" s="251" t="str">
        <f>Language!B956</f>
        <v>Höjd 19-24 cm, art: 2600108</v>
      </c>
      <c r="F159" s="245"/>
      <c r="H159" s="64"/>
      <c r="I159" s="64"/>
      <c r="J159" s="64"/>
      <c r="K159" s="97"/>
    </row>
    <row r="160" spans="1:13" x14ac:dyDescent="0.25">
      <c r="A160" s="157"/>
      <c r="B160" s="251"/>
      <c r="C160" s="97"/>
      <c r="D160" s="97"/>
      <c r="E160" s="426"/>
      <c r="F160" s="245"/>
      <c r="H160" s="64"/>
      <c r="I160" s="64"/>
      <c r="J160" s="64"/>
      <c r="K160" s="97"/>
    </row>
    <row r="161" spans="1:11" x14ac:dyDescent="0.25">
      <c r="A161" s="157"/>
      <c r="B161" s="251"/>
      <c r="C161" s="97"/>
      <c r="D161" s="97"/>
      <c r="E161" s="426"/>
      <c r="F161" s="245"/>
      <c r="H161" s="64"/>
      <c r="I161" s="64"/>
      <c r="J161" s="64"/>
      <c r="K161" s="97"/>
    </row>
    <row r="162" spans="1:11" x14ac:dyDescent="0.25">
      <c r="A162" s="157"/>
      <c r="B162" s="251"/>
      <c r="C162" s="97"/>
      <c r="D162" s="97"/>
      <c r="E162" s="426"/>
      <c r="F162" s="245"/>
      <c r="H162" s="64"/>
      <c r="I162" s="64"/>
      <c r="J162" s="64"/>
      <c r="K162" s="97"/>
    </row>
    <row r="163" spans="1:11" x14ac:dyDescent="0.25">
      <c r="A163" s="157"/>
      <c r="B163" s="251"/>
      <c r="C163" s="97"/>
      <c r="D163" s="97"/>
      <c r="E163" s="426"/>
      <c r="F163" s="245"/>
      <c r="H163" s="64"/>
      <c r="I163" s="64"/>
      <c r="J163" s="64"/>
      <c r="K163" s="97"/>
    </row>
    <row r="164" spans="1:11" x14ac:dyDescent="0.25">
      <c r="A164" s="157"/>
      <c r="B164" s="251"/>
      <c r="C164" s="97"/>
      <c r="D164" s="97"/>
      <c r="E164" s="426"/>
      <c r="F164" s="245"/>
      <c r="H164" s="64"/>
      <c r="I164" s="64"/>
      <c r="J164" s="64"/>
      <c r="K164" s="97"/>
    </row>
    <row r="165" spans="1:11" x14ac:dyDescent="0.25">
      <c r="A165" s="157"/>
      <c r="B165" s="64"/>
      <c r="C165" s="97"/>
      <c r="D165" s="97"/>
      <c r="E165" s="426"/>
      <c r="F165" s="245"/>
      <c r="H165" s="64"/>
      <c r="I165" s="64"/>
      <c r="J165" s="64"/>
      <c r="K165" s="97"/>
    </row>
    <row r="166" spans="1:11" x14ac:dyDescent="0.25">
      <c r="A166" s="68"/>
      <c r="B166" s="64"/>
      <c r="C166" s="97"/>
      <c r="D166" s="97"/>
      <c r="E166" s="426"/>
      <c r="F166" s="245"/>
      <c r="H166" s="64"/>
      <c r="I166" s="64"/>
      <c r="J166" s="64"/>
      <c r="K166" s="97"/>
    </row>
    <row r="167" spans="1:11" x14ac:dyDescent="0.25">
      <c r="A167" s="68"/>
      <c r="B167" s="64"/>
      <c r="C167" s="97"/>
      <c r="D167" s="97"/>
      <c r="E167" s="426"/>
      <c r="F167" s="245"/>
      <c r="H167" s="64"/>
      <c r="I167" s="64"/>
      <c r="J167" s="64"/>
      <c r="K167" s="97"/>
    </row>
    <row r="168" spans="1:11" x14ac:dyDescent="0.25">
      <c r="A168" s="68"/>
      <c r="B168" s="64"/>
      <c r="C168" s="97"/>
      <c r="D168" s="97"/>
      <c r="E168" s="426"/>
      <c r="F168" s="245"/>
      <c r="H168" s="64"/>
      <c r="I168" s="64"/>
      <c r="J168" s="64"/>
      <c r="K168" s="97"/>
    </row>
    <row r="169" spans="1:11" x14ac:dyDescent="0.25">
      <c r="A169" s="68"/>
      <c r="B169" s="64"/>
      <c r="C169" s="97"/>
      <c r="D169" s="97"/>
      <c r="E169" s="426"/>
      <c r="F169" s="245"/>
      <c r="H169" s="64"/>
      <c r="I169" s="64"/>
    </row>
    <row r="170" spans="1:11" ht="15" x14ac:dyDescent="0.25">
      <c r="A170" s="131"/>
      <c r="B170" s="132"/>
      <c r="C170" s="97"/>
      <c r="D170" s="97"/>
      <c r="E170" s="426"/>
      <c r="F170" s="246"/>
      <c r="H170" s="64"/>
      <c r="I170" s="64"/>
    </row>
    <row r="171" spans="1:11" ht="15" x14ac:dyDescent="0.25">
      <c r="C171" s="97"/>
      <c r="D171" s="97"/>
      <c r="E171" s="155"/>
      <c r="F171" s="246"/>
      <c r="H171" s="64"/>
      <c r="I171" s="64"/>
    </row>
    <row r="172" spans="1:11" ht="15" x14ac:dyDescent="0.25">
      <c r="C172" s="97"/>
      <c r="D172" s="97"/>
      <c r="E172" s="155"/>
      <c r="F172" s="246"/>
    </row>
    <row r="173" spans="1:11" x14ac:dyDescent="0.25">
      <c r="C173" s="97"/>
      <c r="D173" s="97"/>
      <c r="E173" s="155"/>
    </row>
  </sheetData>
  <sheetProtection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19257-483A-4133-9FC9-20565E58321F}">
  <sheetPr codeName="Sheet9"/>
  <dimension ref="A1:K957"/>
  <sheetViews>
    <sheetView zoomScaleNormal="100" workbookViewId="0">
      <pane ySplit="1" topLeftCell="A34" activePane="bottomLeft" state="frozen"/>
      <selection activeCell="D216" sqref="D216"/>
      <selection pane="bottomLeft" activeCell="B55" sqref="B55"/>
    </sheetView>
  </sheetViews>
  <sheetFormatPr defaultRowHeight="15" x14ac:dyDescent="0.25"/>
  <cols>
    <col min="1" max="1" width="10.28515625" style="1" customWidth="1"/>
    <col min="2" max="2" width="76.5703125" customWidth="1"/>
    <col min="3" max="3" width="56.85546875" bestFit="1" customWidth="1"/>
    <col min="4" max="4" width="32" bestFit="1" customWidth="1"/>
  </cols>
  <sheetData>
    <row r="1" spans="1:5" ht="18.75" x14ac:dyDescent="0.3">
      <c r="A1" s="679" t="s">
        <v>4470</v>
      </c>
      <c r="B1" s="536" t="s">
        <v>4471</v>
      </c>
      <c r="C1" s="536" t="s">
        <v>4889</v>
      </c>
      <c r="D1" s="162" t="s">
        <v>5051</v>
      </c>
    </row>
    <row r="2" spans="1:5" ht="23.25" x14ac:dyDescent="0.35">
      <c r="A2" s="679" t="s">
        <v>120</v>
      </c>
      <c r="B2" s="537" t="s">
        <v>4637</v>
      </c>
      <c r="C2" s="536"/>
    </row>
    <row r="3" spans="1:5" ht="15.75" customHeight="1" x14ac:dyDescent="0.3">
      <c r="A3" s="679"/>
      <c r="B3" t="s">
        <v>176</v>
      </c>
      <c r="C3" t="s">
        <v>5129</v>
      </c>
    </row>
    <row r="4" spans="1:5" ht="15.75" customHeight="1" x14ac:dyDescent="0.3">
      <c r="A4" s="679"/>
      <c r="B4" t="s">
        <v>177</v>
      </c>
      <c r="C4" t="s">
        <v>5130</v>
      </c>
    </row>
    <row r="5" spans="1:5" ht="15.75" customHeight="1" x14ac:dyDescent="0.3">
      <c r="A5" s="679"/>
      <c r="B5" t="s">
        <v>178</v>
      </c>
      <c r="C5" t="s">
        <v>5131</v>
      </c>
    </row>
    <row r="6" spans="1:5" ht="15.75" customHeight="1" x14ac:dyDescent="0.3">
      <c r="A6" s="679"/>
      <c r="B6" t="s">
        <v>385</v>
      </c>
      <c r="C6" t="s">
        <v>5132</v>
      </c>
    </row>
    <row r="7" spans="1:5" x14ac:dyDescent="0.25">
      <c r="A7" s="188"/>
      <c r="B7" t="s">
        <v>4639</v>
      </c>
      <c r="C7" t="s">
        <v>4797</v>
      </c>
    </row>
    <row r="8" spans="1:5" ht="18.75" x14ac:dyDescent="0.3">
      <c r="A8" s="679" t="s">
        <v>4760</v>
      </c>
      <c r="B8" t="s">
        <v>4473</v>
      </c>
      <c r="C8" t="s">
        <v>4474</v>
      </c>
    </row>
    <row r="9" spans="1:5" x14ac:dyDescent="0.25">
      <c r="A9" s="188"/>
      <c r="B9" t="s">
        <v>4475</v>
      </c>
      <c r="C9" t="s">
        <v>4476</v>
      </c>
    </row>
    <row r="10" spans="1:5" x14ac:dyDescent="0.25">
      <c r="A10" s="188"/>
      <c r="B10" t="s">
        <v>179</v>
      </c>
      <c r="C10" t="s">
        <v>4477</v>
      </c>
    </row>
    <row r="11" spans="1:5" x14ac:dyDescent="0.25">
      <c r="B11" t="s">
        <v>4478</v>
      </c>
      <c r="C11" t="s">
        <v>4798</v>
      </c>
    </row>
    <row r="12" spans="1:5" x14ac:dyDescent="0.25">
      <c r="B12" t="s">
        <v>181</v>
      </c>
      <c r="C12" t="s">
        <v>4479</v>
      </c>
    </row>
    <row r="13" spans="1:5" x14ac:dyDescent="0.25">
      <c r="B13" t="s">
        <v>4470</v>
      </c>
      <c r="C13" t="s">
        <v>4480</v>
      </c>
      <c r="E13" s="18"/>
    </row>
    <row r="14" spans="1:5" x14ac:dyDescent="0.25">
      <c r="B14" t="s">
        <v>183</v>
      </c>
      <c r="C14" t="s">
        <v>4645</v>
      </c>
      <c r="E14" s="18"/>
    </row>
    <row r="15" spans="1:5" x14ac:dyDescent="0.25">
      <c r="B15" t="s">
        <v>4848</v>
      </c>
      <c r="C15" t="s">
        <v>4847</v>
      </c>
      <c r="E15" s="18"/>
    </row>
    <row r="16" spans="1:5" x14ac:dyDescent="0.25">
      <c r="B16" s="68" t="s">
        <v>184</v>
      </c>
      <c r="C16" t="s">
        <v>4483</v>
      </c>
    </row>
    <row r="17" spans="2:11" x14ac:dyDescent="0.25">
      <c r="B17" s="14" t="s">
        <v>185</v>
      </c>
      <c r="C17" t="s">
        <v>4484</v>
      </c>
    </row>
    <row r="18" spans="2:11" x14ac:dyDescent="0.25">
      <c r="B18" s="68" t="s">
        <v>186</v>
      </c>
      <c r="C18" t="s">
        <v>4485</v>
      </c>
    </row>
    <row r="19" spans="2:11" x14ac:dyDescent="0.25">
      <c r="B19" s="68" t="s">
        <v>0</v>
      </c>
      <c r="C19" t="s">
        <v>0</v>
      </c>
    </row>
    <row r="20" spans="2:11" x14ac:dyDescent="0.25">
      <c r="B20" s="68" t="s">
        <v>187</v>
      </c>
      <c r="C20" t="s">
        <v>4486</v>
      </c>
    </row>
    <row r="21" spans="2:11" x14ac:dyDescent="0.25">
      <c r="B21" s="14" t="s">
        <v>4487</v>
      </c>
      <c r="C21" s="14" t="s">
        <v>4488</v>
      </c>
      <c r="D21" s="14"/>
    </row>
    <row r="22" spans="2:11" x14ac:dyDescent="0.25">
      <c r="B22" s="14" t="s">
        <v>4489</v>
      </c>
      <c r="C22" s="14" t="s">
        <v>4490</v>
      </c>
      <c r="D22" s="14"/>
    </row>
    <row r="23" spans="2:11" x14ac:dyDescent="0.25">
      <c r="B23" s="14" t="s">
        <v>4828</v>
      </c>
      <c r="C23" s="14" t="s">
        <v>4491</v>
      </c>
      <c r="D23" s="14"/>
    </row>
    <row r="24" spans="2:11" x14ac:dyDescent="0.25">
      <c r="B24" s="14" t="s">
        <v>4640</v>
      </c>
      <c r="C24" s="14" t="s">
        <v>4493</v>
      </c>
      <c r="D24" s="14"/>
    </row>
    <row r="25" spans="2:11" x14ac:dyDescent="0.25">
      <c r="B25" s="14" t="s">
        <v>4655</v>
      </c>
      <c r="C25" s="14" t="s">
        <v>4495</v>
      </c>
      <c r="D25" s="14"/>
    </row>
    <row r="26" spans="2:11" ht="15" customHeight="1" x14ac:dyDescent="0.25">
      <c r="B26" s="538" t="s">
        <v>4641</v>
      </c>
      <c r="C26" s="538" t="s">
        <v>4839</v>
      </c>
      <c r="D26" s="14"/>
      <c r="E26" s="14"/>
      <c r="F26" s="14"/>
      <c r="G26" s="14"/>
      <c r="H26" s="14"/>
      <c r="I26" s="14"/>
      <c r="J26" s="14"/>
      <c r="K26" s="14"/>
    </row>
    <row r="27" spans="2:11" x14ac:dyDescent="0.25">
      <c r="B27" s="539" t="s">
        <v>4642</v>
      </c>
      <c r="C27" s="539" t="s">
        <v>5133</v>
      </c>
      <c r="D27" s="14"/>
      <c r="E27" s="14"/>
      <c r="F27" s="14"/>
      <c r="G27" s="14"/>
      <c r="H27" s="14"/>
      <c r="I27" s="14"/>
      <c r="J27" s="14"/>
      <c r="K27" s="14"/>
    </row>
    <row r="28" spans="2:11" x14ac:dyDescent="0.25">
      <c r="B28" s="14" t="s">
        <v>4643</v>
      </c>
      <c r="C28" s="14" t="s">
        <v>4840</v>
      </c>
      <c r="D28" s="14"/>
      <c r="E28" s="14"/>
      <c r="F28" s="14"/>
      <c r="G28" s="14"/>
      <c r="H28" s="14"/>
      <c r="I28" s="14"/>
      <c r="J28" s="14"/>
      <c r="K28" s="14"/>
    </row>
    <row r="29" spans="2:11" x14ac:dyDescent="0.25">
      <c r="B29" s="558" t="s">
        <v>4644</v>
      </c>
      <c r="C29" s="558" t="s">
        <v>4803</v>
      </c>
    </row>
    <row r="30" spans="2:11" x14ac:dyDescent="0.25">
      <c r="B30" t="s">
        <v>47</v>
      </c>
      <c r="C30" s="14" t="s">
        <v>47</v>
      </c>
    </row>
    <row r="31" spans="2:11" x14ac:dyDescent="0.25">
      <c r="B31" t="s">
        <v>201</v>
      </c>
      <c r="C31" s="14" t="s">
        <v>4800</v>
      </c>
    </row>
    <row r="32" spans="2:11" x14ac:dyDescent="0.25">
      <c r="B32" t="s">
        <v>202</v>
      </c>
      <c r="C32" s="14" t="s">
        <v>4802</v>
      </c>
    </row>
    <row r="33" spans="2:3" x14ac:dyDescent="0.25">
      <c r="B33" t="s">
        <v>48</v>
      </c>
      <c r="C33" s="14" t="s">
        <v>48</v>
      </c>
    </row>
    <row r="34" spans="2:3" x14ac:dyDescent="0.25">
      <c r="B34" t="s">
        <v>203</v>
      </c>
      <c r="C34" s="14" t="s">
        <v>4799</v>
      </c>
    </row>
    <row r="35" spans="2:3" x14ac:dyDescent="0.25">
      <c r="B35" t="s">
        <v>49</v>
      </c>
      <c r="C35" s="14" t="s">
        <v>49</v>
      </c>
    </row>
    <row r="36" spans="2:3" x14ac:dyDescent="0.25">
      <c r="B36" t="s">
        <v>204</v>
      </c>
      <c r="C36" s="14" t="s">
        <v>4801</v>
      </c>
    </row>
    <row r="37" spans="2:3" x14ac:dyDescent="0.25">
      <c r="B37" t="s">
        <v>189</v>
      </c>
      <c r="C37" t="s">
        <v>4806</v>
      </c>
    </row>
    <row r="38" spans="2:3" x14ac:dyDescent="0.25">
      <c r="B38" t="s">
        <v>190</v>
      </c>
      <c r="C38" t="s">
        <v>4807</v>
      </c>
    </row>
    <row r="39" spans="2:3" x14ac:dyDescent="0.25">
      <c r="B39" t="s">
        <v>191</v>
      </c>
      <c r="C39" t="s">
        <v>4808</v>
      </c>
    </row>
    <row r="40" spans="2:3" x14ac:dyDescent="0.25">
      <c r="B40" t="s">
        <v>192</v>
      </c>
      <c r="C40" t="s">
        <v>4809</v>
      </c>
    </row>
    <row r="41" spans="2:3" x14ac:dyDescent="0.25">
      <c r="B41" t="s">
        <v>4467</v>
      </c>
      <c r="C41" t="s">
        <v>4850</v>
      </c>
    </row>
    <row r="42" spans="2:3" x14ac:dyDescent="0.25">
      <c r="B42" t="s">
        <v>4468</v>
      </c>
      <c r="C42" t="s">
        <v>4849</v>
      </c>
    </row>
    <row r="43" spans="2:3" x14ac:dyDescent="0.25">
      <c r="B43" t="s">
        <v>193</v>
      </c>
      <c r="C43" t="s">
        <v>4810</v>
      </c>
    </row>
    <row r="44" spans="2:3" x14ac:dyDescent="0.25">
      <c r="B44" t="s">
        <v>4646</v>
      </c>
      <c r="C44" t="s">
        <v>5134</v>
      </c>
    </row>
    <row r="45" spans="2:3" x14ac:dyDescent="0.25">
      <c r="B45" s="162" t="s">
        <v>4497</v>
      </c>
      <c r="C45" s="162" t="s">
        <v>4498</v>
      </c>
    </row>
    <row r="46" spans="2:3" x14ac:dyDescent="0.25">
      <c r="B46" s="162" t="s">
        <v>126</v>
      </c>
      <c r="C46" s="14" t="s">
        <v>164</v>
      </c>
    </row>
    <row r="47" spans="2:3" ht="15.75" x14ac:dyDescent="0.25">
      <c r="B47" s="337" t="s">
        <v>194</v>
      </c>
      <c r="C47" s="337" t="s">
        <v>4499</v>
      </c>
    </row>
    <row r="48" spans="2:3" x14ac:dyDescent="0.25">
      <c r="B48" t="s">
        <v>4647</v>
      </c>
      <c r="C48" t="s">
        <v>4851</v>
      </c>
    </row>
    <row r="49" spans="2:4" x14ac:dyDescent="0.25">
      <c r="B49" t="s">
        <v>4648</v>
      </c>
      <c r="C49" t="s">
        <v>4852</v>
      </c>
    </row>
    <row r="50" spans="2:4" x14ac:dyDescent="0.25">
      <c r="B50" s="540" t="s">
        <v>4500</v>
      </c>
      <c r="C50" s="540" t="s">
        <v>4501</v>
      </c>
    </row>
    <row r="51" spans="2:4" x14ac:dyDescent="0.25">
      <c r="B51" t="s">
        <v>4502</v>
      </c>
      <c r="C51" t="s">
        <v>4503</v>
      </c>
    </row>
    <row r="52" spans="2:4" x14ac:dyDescent="0.25">
      <c r="B52" t="s">
        <v>4504</v>
      </c>
      <c r="C52" t="s">
        <v>4505</v>
      </c>
    </row>
    <row r="53" spans="2:4" ht="15.75" x14ac:dyDescent="0.25">
      <c r="B53" s="349" t="s">
        <v>4506</v>
      </c>
      <c r="C53" s="349" t="s">
        <v>4507</v>
      </c>
    </row>
    <row r="54" spans="2:4" x14ac:dyDescent="0.25">
      <c r="B54" t="s">
        <v>4650</v>
      </c>
      <c r="C54" t="s">
        <v>4812</v>
      </c>
    </row>
    <row r="55" spans="2:4" x14ac:dyDescent="0.25">
      <c r="B55" t="s">
        <v>5160</v>
      </c>
      <c r="C55" t="s">
        <v>5159</v>
      </c>
    </row>
    <row r="56" spans="2:4" ht="15.75" x14ac:dyDescent="0.25">
      <c r="B56" s="349" t="s">
        <v>197</v>
      </c>
      <c r="C56" s="349" t="s">
        <v>4757</v>
      </c>
    </row>
    <row r="57" spans="2:4" x14ac:dyDescent="0.25">
      <c r="B57" t="s">
        <v>4829</v>
      </c>
      <c r="C57" t="s">
        <v>4841</v>
      </c>
    </row>
    <row r="58" spans="2:4" ht="15.75" x14ac:dyDescent="0.25">
      <c r="B58" s="349" t="s">
        <v>198</v>
      </c>
      <c r="C58" s="541" t="s">
        <v>4508</v>
      </c>
      <c r="D58" s="344"/>
    </row>
    <row r="59" spans="2:4" x14ac:dyDescent="0.25">
      <c r="B59" t="s">
        <v>1</v>
      </c>
      <c r="C59" t="s">
        <v>1</v>
      </c>
    </row>
    <row r="60" spans="2:4" x14ac:dyDescent="0.25">
      <c r="B60" t="s">
        <v>4656</v>
      </c>
      <c r="C60" t="s">
        <v>4815</v>
      </c>
    </row>
    <row r="61" spans="2:4" x14ac:dyDescent="0.25">
      <c r="B61" t="s">
        <v>4651</v>
      </c>
      <c r="C61" t="s">
        <v>4857</v>
      </c>
    </row>
    <row r="62" spans="2:4" x14ac:dyDescent="0.25">
      <c r="B62" t="s">
        <v>4652</v>
      </c>
      <c r="C62" t="s">
        <v>4858</v>
      </c>
    </row>
    <row r="63" spans="2:4" x14ac:dyDescent="0.25">
      <c r="B63" t="s">
        <v>4653</v>
      </c>
      <c r="C63" t="s">
        <v>4816</v>
      </c>
    </row>
    <row r="64" spans="2:4" x14ac:dyDescent="0.25">
      <c r="B64" t="s">
        <v>4654</v>
      </c>
      <c r="C64" t="s">
        <v>4859</v>
      </c>
    </row>
    <row r="65" spans="2:8" x14ac:dyDescent="0.25">
      <c r="B65" t="s">
        <v>4657</v>
      </c>
      <c r="C65" t="s">
        <v>4860</v>
      </c>
    </row>
    <row r="66" spans="2:8" x14ac:dyDescent="0.25">
      <c r="B66" t="s">
        <v>199</v>
      </c>
      <c r="C66" t="s">
        <v>4963</v>
      </c>
    </row>
    <row r="67" spans="2:8" x14ac:dyDescent="0.25">
      <c r="B67" t="s">
        <v>200</v>
      </c>
      <c r="C67" t="s">
        <v>4861</v>
      </c>
    </row>
    <row r="68" spans="2:8" ht="15.75" x14ac:dyDescent="0.25">
      <c r="B68" s="349" t="s">
        <v>4786</v>
      </c>
      <c r="C68" s="349" t="s">
        <v>4862</v>
      </c>
    </row>
    <row r="69" spans="2:8" ht="15.75" x14ac:dyDescent="0.25">
      <c r="B69" s="350"/>
    </row>
    <row r="70" spans="2:8" ht="15.75" x14ac:dyDescent="0.25">
      <c r="B70" s="349" t="s">
        <v>205</v>
      </c>
      <c r="C70" s="349" t="s">
        <v>4863</v>
      </c>
    </row>
    <row r="71" spans="2:8" ht="15.75" x14ac:dyDescent="0.25">
      <c r="B71" s="644" t="s">
        <v>29</v>
      </c>
      <c r="C71" s="644" t="s">
        <v>29</v>
      </c>
    </row>
    <row r="72" spans="2:8" ht="15.75" x14ac:dyDescent="0.25">
      <c r="B72" s="644" t="s">
        <v>4658</v>
      </c>
      <c r="C72" s="644" t="s">
        <v>4658</v>
      </c>
      <c r="E72" s="688"/>
    </row>
    <row r="73" spans="2:8" ht="15.75" x14ac:dyDescent="0.25">
      <c r="B73" s="644" t="s">
        <v>4509</v>
      </c>
      <c r="C73" s="644" t="s">
        <v>4864</v>
      </c>
    </row>
    <row r="74" spans="2:8" ht="15.75" x14ac:dyDescent="0.25">
      <c r="B74" s="644" t="s">
        <v>4510</v>
      </c>
      <c r="C74" s="644" t="s">
        <v>4865</v>
      </c>
    </row>
    <row r="75" spans="2:8" ht="15.75" x14ac:dyDescent="0.25">
      <c r="B75" s="644" t="s">
        <v>206</v>
      </c>
      <c r="C75" s="644" t="s">
        <v>5137</v>
      </c>
    </row>
    <row r="76" spans="2:8" ht="15.75" x14ac:dyDescent="0.25">
      <c r="B76" s="644" t="s">
        <v>4659</v>
      </c>
      <c r="C76" s="644" t="s">
        <v>5135</v>
      </c>
    </row>
    <row r="77" spans="2:8" ht="15.75" x14ac:dyDescent="0.25">
      <c r="B77" s="644" t="s">
        <v>4660</v>
      </c>
      <c r="C77" s="644" t="s">
        <v>5136</v>
      </c>
    </row>
    <row r="78" spans="2:8" ht="15.75" x14ac:dyDescent="0.25">
      <c r="B78" s="644" t="s">
        <v>5143</v>
      </c>
      <c r="C78" s="644" t="s">
        <v>5144</v>
      </c>
      <c r="E78" s="688"/>
      <c r="H78" s="688"/>
    </row>
    <row r="79" spans="2:8" ht="15.75" x14ac:dyDescent="0.25">
      <c r="B79" s="644" t="s">
        <v>5145</v>
      </c>
      <c r="C79" s="644" t="s">
        <v>5146</v>
      </c>
      <c r="E79" s="688"/>
      <c r="H79" s="688"/>
    </row>
    <row r="80" spans="2:8" ht="15.75" x14ac:dyDescent="0.25">
      <c r="B80" s="644" t="s">
        <v>5147</v>
      </c>
      <c r="C80" s="644" t="s">
        <v>5148</v>
      </c>
      <c r="E80" s="688"/>
      <c r="H80" s="688"/>
    </row>
    <row r="81" spans="2:8" ht="15.75" x14ac:dyDescent="0.25">
      <c r="B81" s="644" t="s">
        <v>5149</v>
      </c>
      <c r="C81" s="644" t="s">
        <v>5150</v>
      </c>
      <c r="E81" s="688"/>
      <c r="H81" s="688"/>
    </row>
    <row r="82" spans="2:8" ht="15.75" x14ac:dyDescent="0.25">
      <c r="B82" s="644"/>
      <c r="C82" s="644"/>
      <c r="E82" s="688"/>
      <c r="H82" s="688"/>
    </row>
    <row r="83" spans="2:8" x14ac:dyDescent="0.25">
      <c r="B83" s="541" t="s">
        <v>4787</v>
      </c>
      <c r="C83" s="541" t="s">
        <v>4511</v>
      </c>
    </row>
    <row r="84" spans="2:8" x14ac:dyDescent="0.25">
      <c r="B84" t="s">
        <v>4512</v>
      </c>
      <c r="C84" t="s">
        <v>4513</v>
      </c>
    </row>
    <row r="85" spans="2:8" x14ac:dyDescent="0.25">
      <c r="B85" t="s">
        <v>4514</v>
      </c>
      <c r="C85" t="s">
        <v>4515</v>
      </c>
    </row>
    <row r="86" spans="2:8" x14ac:dyDescent="0.25">
      <c r="B86" t="s">
        <v>4516</v>
      </c>
      <c r="C86" t="s">
        <v>4517</v>
      </c>
      <c r="E86" s="688"/>
    </row>
    <row r="87" spans="2:8" x14ac:dyDescent="0.25">
      <c r="B87" s="541" t="s">
        <v>4670</v>
      </c>
      <c r="C87" s="541" t="s">
        <v>4518</v>
      </c>
    </row>
    <row r="88" spans="2:8" x14ac:dyDescent="0.25">
      <c r="B88" t="s">
        <v>211</v>
      </c>
      <c r="C88" t="s">
        <v>4524</v>
      </c>
    </row>
    <row r="89" spans="2:8" x14ac:dyDescent="0.25">
      <c r="B89" t="s">
        <v>212</v>
      </c>
      <c r="C89" t="s">
        <v>4867</v>
      </c>
    </row>
    <row r="90" spans="2:8" x14ac:dyDescent="0.25">
      <c r="B90" t="s">
        <v>4661</v>
      </c>
      <c r="C90" t="s">
        <v>4868</v>
      </c>
    </row>
    <row r="91" spans="2:8" x14ac:dyDescent="0.25">
      <c r="B91" t="s">
        <v>4662</v>
      </c>
      <c r="C91" t="s">
        <v>4869</v>
      </c>
    </row>
    <row r="92" spans="2:8" x14ac:dyDescent="0.25">
      <c r="B92" t="s">
        <v>4663</v>
      </c>
      <c r="C92" t="s">
        <v>4870</v>
      </c>
    </row>
    <row r="93" spans="2:8" x14ac:dyDescent="0.25">
      <c r="B93" t="s">
        <v>4664</v>
      </c>
      <c r="C93" t="s">
        <v>4871</v>
      </c>
    </row>
    <row r="94" spans="2:8" x14ac:dyDescent="0.25">
      <c r="B94" t="s">
        <v>4665</v>
      </c>
      <c r="C94" t="s">
        <v>4872</v>
      </c>
    </row>
    <row r="95" spans="2:8" x14ac:dyDescent="0.25">
      <c r="B95" t="s">
        <v>213</v>
      </c>
      <c r="C95" t="s">
        <v>4873</v>
      </c>
    </row>
    <row r="96" spans="2:8" x14ac:dyDescent="0.25">
      <c r="B96" t="s">
        <v>4666</v>
      </c>
      <c r="C96" t="s">
        <v>4874</v>
      </c>
    </row>
    <row r="98" spans="2:8" ht="15.75" x14ac:dyDescent="0.25">
      <c r="B98" s="349" t="s">
        <v>214</v>
      </c>
      <c r="C98" s="541" t="s">
        <v>4519</v>
      </c>
    </row>
    <row r="99" spans="2:8" x14ac:dyDescent="0.25">
      <c r="B99" t="s">
        <v>30</v>
      </c>
      <c r="C99" t="s">
        <v>30</v>
      </c>
      <c r="H99" s="688"/>
    </row>
    <row r="100" spans="2:8" x14ac:dyDescent="0.25">
      <c r="B100" t="s">
        <v>4667</v>
      </c>
      <c r="C100" t="s">
        <v>4875</v>
      </c>
    </row>
    <row r="101" spans="2:8" x14ac:dyDescent="0.25">
      <c r="B101" t="s">
        <v>4668</v>
      </c>
      <c r="C101" t="s">
        <v>4876</v>
      </c>
    </row>
    <row r="102" spans="2:8" x14ac:dyDescent="0.25">
      <c r="B102" t="s">
        <v>4671</v>
      </c>
      <c r="C102" t="s">
        <v>5138</v>
      </c>
    </row>
    <row r="103" spans="2:8" x14ac:dyDescent="0.25">
      <c r="B103" t="s">
        <v>4669</v>
      </c>
      <c r="C103" t="s">
        <v>4877</v>
      </c>
    </row>
    <row r="104" spans="2:8" ht="15.75" x14ac:dyDescent="0.25">
      <c r="B104" s="349" t="s">
        <v>215</v>
      </c>
      <c r="C104" s="541" t="s">
        <v>5139</v>
      </c>
    </row>
    <row r="105" spans="2:8" x14ac:dyDescent="0.25">
      <c r="B105" s="542" t="s">
        <v>216</v>
      </c>
      <c r="C105" s="542" t="s">
        <v>4878</v>
      </c>
    </row>
    <row r="106" spans="2:8" x14ac:dyDescent="0.25">
      <c r="B106" s="542" t="s">
        <v>217</v>
      </c>
      <c r="C106" s="542" t="s">
        <v>4879</v>
      </c>
    </row>
    <row r="107" spans="2:8" x14ac:dyDescent="0.25">
      <c r="B107" s="542" t="s">
        <v>218</v>
      </c>
      <c r="C107" s="542" t="s">
        <v>4880</v>
      </c>
    </row>
    <row r="108" spans="2:8" x14ac:dyDescent="0.25">
      <c r="B108" s="542" t="s">
        <v>219</v>
      </c>
      <c r="C108" s="542" t="s">
        <v>4881</v>
      </c>
    </row>
    <row r="109" spans="2:8" x14ac:dyDescent="0.25">
      <c r="B109" s="542" t="s">
        <v>4672</v>
      </c>
      <c r="C109" s="542" t="s">
        <v>4672</v>
      </c>
    </row>
    <row r="110" spans="2:8" x14ac:dyDescent="0.25">
      <c r="B110" s="542" t="s">
        <v>4672</v>
      </c>
      <c r="C110" s="542" t="s">
        <v>4672</v>
      </c>
    </row>
    <row r="111" spans="2:8" x14ac:dyDescent="0.25">
      <c r="B111" s="542" t="s">
        <v>4672</v>
      </c>
      <c r="C111" s="542" t="s">
        <v>4672</v>
      </c>
    </row>
    <row r="112" spans="2:8" x14ac:dyDescent="0.25">
      <c r="B112" s="542" t="s">
        <v>44</v>
      </c>
      <c r="C112" s="542" t="s">
        <v>44</v>
      </c>
      <c r="E112" s="31"/>
      <c r="H112" s="545"/>
    </row>
    <row r="113" spans="2:9" x14ac:dyDescent="0.25">
      <c r="B113" s="542" t="s">
        <v>211</v>
      </c>
      <c r="C113" s="542" t="s">
        <v>4524</v>
      </c>
      <c r="E113" s="688"/>
      <c r="H113" s="545"/>
      <c r="I113" s="687"/>
    </row>
    <row r="114" spans="2:9" x14ac:dyDescent="0.25">
      <c r="B114" s="542" t="s">
        <v>221</v>
      </c>
      <c r="C114" s="542" t="s">
        <v>4882</v>
      </c>
      <c r="E114" s="31"/>
      <c r="H114" s="545"/>
    </row>
    <row r="115" spans="2:9" x14ac:dyDescent="0.25">
      <c r="B115" s="542" t="s">
        <v>222</v>
      </c>
      <c r="C115" s="542" t="s">
        <v>4883</v>
      </c>
      <c r="E115" s="688"/>
      <c r="H115" s="545"/>
    </row>
    <row r="116" spans="2:9" x14ac:dyDescent="0.25">
      <c r="B116" s="542" t="s">
        <v>222</v>
      </c>
      <c r="C116" s="542" t="s">
        <v>4883</v>
      </c>
      <c r="E116" s="31"/>
      <c r="H116" s="545"/>
    </row>
    <row r="117" spans="2:9" x14ac:dyDescent="0.25">
      <c r="B117" s="542" t="s">
        <v>223</v>
      </c>
      <c r="C117" s="542" t="s">
        <v>4884</v>
      </c>
      <c r="E117" s="31"/>
      <c r="H117" s="545"/>
    </row>
    <row r="118" spans="2:9" x14ac:dyDescent="0.25">
      <c r="B118" s="542" t="s">
        <v>223</v>
      </c>
      <c r="C118" s="542" t="s">
        <v>4884</v>
      </c>
      <c r="E118" s="31"/>
      <c r="H118" s="545"/>
    </row>
    <row r="119" spans="2:9" x14ac:dyDescent="0.25">
      <c r="B119" s="542" t="s">
        <v>224</v>
      </c>
      <c r="C119" s="542" t="s">
        <v>4885</v>
      </c>
      <c r="E119" s="31"/>
      <c r="H119" s="545"/>
    </row>
    <row r="120" spans="2:9" x14ac:dyDescent="0.25">
      <c r="B120" s="542" t="s">
        <v>224</v>
      </c>
      <c r="C120" s="542" t="s">
        <v>4885</v>
      </c>
      <c r="E120" s="31"/>
    </row>
    <row r="121" spans="2:9" x14ac:dyDescent="0.25">
      <c r="B121" s="542" t="s">
        <v>4673</v>
      </c>
      <c r="C121" s="542" t="s">
        <v>4886</v>
      </c>
      <c r="E121" s="31"/>
    </row>
    <row r="122" spans="2:9" ht="15.75" x14ac:dyDescent="0.25">
      <c r="B122" s="644" t="s">
        <v>4716</v>
      </c>
      <c r="C122" s="644" t="s">
        <v>4887</v>
      </c>
      <c r="E122" s="31"/>
    </row>
    <row r="123" spans="2:9" ht="15.75" x14ac:dyDescent="0.25">
      <c r="B123" s="644" t="s">
        <v>226</v>
      </c>
      <c r="C123" s="644" t="s">
        <v>4888</v>
      </c>
      <c r="E123" s="31"/>
    </row>
    <row r="124" spans="2:9" ht="15.75" x14ac:dyDescent="0.25">
      <c r="B124" s="542" t="s">
        <v>226</v>
      </c>
      <c r="C124" s="644" t="s">
        <v>4888</v>
      </c>
      <c r="E124" s="31"/>
    </row>
    <row r="125" spans="2:9" x14ac:dyDescent="0.25">
      <c r="B125" s="544"/>
      <c r="C125" s="544"/>
      <c r="E125" s="31"/>
    </row>
    <row r="126" spans="2:9" ht="15.75" x14ac:dyDescent="0.25">
      <c r="B126" s="349" t="s">
        <v>4674</v>
      </c>
      <c r="C126" s="546" t="s">
        <v>4523</v>
      </c>
      <c r="E126" s="31"/>
    </row>
    <row r="127" spans="2:9" x14ac:dyDescent="0.25">
      <c r="B127" t="s">
        <v>211</v>
      </c>
      <c r="C127" t="s">
        <v>4524</v>
      </c>
      <c r="E127" s="31"/>
    </row>
    <row r="128" spans="2:9" x14ac:dyDescent="0.25">
      <c r="B128" t="s">
        <v>4525</v>
      </c>
      <c r="C128" t="s">
        <v>4525</v>
      </c>
      <c r="E128" s="31"/>
    </row>
    <row r="129" spans="2:3" x14ac:dyDescent="0.25">
      <c r="B129" t="s">
        <v>4526</v>
      </c>
      <c r="C129" t="s">
        <v>4526</v>
      </c>
    </row>
    <row r="130" spans="2:3" x14ac:dyDescent="0.25">
      <c r="B130" t="s">
        <v>4527</v>
      </c>
      <c r="C130" t="s">
        <v>4890</v>
      </c>
    </row>
    <row r="131" spans="2:3" x14ac:dyDescent="0.25">
      <c r="B131" t="s">
        <v>350</v>
      </c>
      <c r="C131" t="s">
        <v>4891</v>
      </c>
    </row>
    <row r="132" spans="2:3" x14ac:dyDescent="0.25">
      <c r="B132" t="s">
        <v>31</v>
      </c>
      <c r="C132" t="s">
        <v>4892</v>
      </c>
    </row>
    <row r="133" spans="2:3" x14ac:dyDescent="0.25">
      <c r="B133" t="s">
        <v>227</v>
      </c>
      <c r="C133" t="s">
        <v>85</v>
      </c>
    </row>
    <row r="134" spans="2:3" x14ac:dyDescent="0.25">
      <c r="B134" t="s">
        <v>228</v>
      </c>
      <c r="C134" t="s">
        <v>4893</v>
      </c>
    </row>
    <row r="135" spans="2:3" x14ac:dyDescent="0.25">
      <c r="B135" t="s">
        <v>230</v>
      </c>
      <c r="C135" t="s">
        <v>4894</v>
      </c>
    </row>
    <row r="136" spans="2:3" x14ac:dyDescent="0.25">
      <c r="B136" t="s">
        <v>232</v>
      </c>
      <c r="C136" t="s">
        <v>4895</v>
      </c>
    </row>
    <row r="137" spans="2:3" x14ac:dyDescent="0.25">
      <c r="B137" t="s">
        <v>233</v>
      </c>
      <c r="C137" t="s">
        <v>4896</v>
      </c>
    </row>
    <row r="138" spans="2:3" x14ac:dyDescent="0.25">
      <c r="B138" t="s">
        <v>235</v>
      </c>
      <c r="C138" t="s">
        <v>4897</v>
      </c>
    </row>
    <row r="139" spans="2:3" x14ac:dyDescent="0.25">
      <c r="B139" t="s">
        <v>234</v>
      </c>
      <c r="C139" t="s">
        <v>4898</v>
      </c>
    </row>
    <row r="140" spans="2:3" x14ac:dyDescent="0.25">
      <c r="B140" t="s">
        <v>319</v>
      </c>
      <c r="C140" t="s">
        <v>4899</v>
      </c>
    </row>
    <row r="141" spans="2:3" x14ac:dyDescent="0.25">
      <c r="B141" t="s">
        <v>32</v>
      </c>
      <c r="C141" t="s">
        <v>32</v>
      </c>
    </row>
    <row r="142" spans="2:3" x14ac:dyDescent="0.25">
      <c r="B142" t="s">
        <v>231</v>
      </c>
      <c r="C142" t="s">
        <v>4900</v>
      </c>
    </row>
    <row r="143" spans="2:3" x14ac:dyDescent="0.25">
      <c r="B143" t="s">
        <v>4817</v>
      </c>
      <c r="C143" t="s">
        <v>4901</v>
      </c>
    </row>
    <row r="144" spans="2:3" x14ac:dyDescent="0.25">
      <c r="B144" t="s">
        <v>5141</v>
      </c>
      <c r="C144" t="s">
        <v>5140</v>
      </c>
    </row>
    <row r="145" spans="2:6" x14ac:dyDescent="0.25">
      <c r="B145" t="s">
        <v>237</v>
      </c>
      <c r="C145" t="s">
        <v>4902</v>
      </c>
    </row>
    <row r="146" spans="2:6" x14ac:dyDescent="0.25">
      <c r="B146" t="s">
        <v>242</v>
      </c>
      <c r="C146" t="s">
        <v>4907</v>
      </c>
    </row>
    <row r="147" spans="2:6" x14ac:dyDescent="0.25">
      <c r="B147" t="s">
        <v>4818</v>
      </c>
      <c r="C147" t="s">
        <v>4903</v>
      </c>
    </row>
    <row r="148" spans="2:6" x14ac:dyDescent="0.25">
      <c r="B148" t="s">
        <v>247</v>
      </c>
      <c r="C148" t="s">
        <v>5059</v>
      </c>
      <c r="F148" s="688"/>
    </row>
    <row r="149" spans="2:6" x14ac:dyDescent="0.25">
      <c r="B149" t="s">
        <v>4675</v>
      </c>
      <c r="C149" t="s">
        <v>4905</v>
      </c>
    </row>
    <row r="150" spans="2:6" x14ac:dyDescent="0.25">
      <c r="B150" t="s">
        <v>248</v>
      </c>
      <c r="C150" t="s">
        <v>4906</v>
      </c>
    </row>
    <row r="151" spans="2:6" x14ac:dyDescent="0.25">
      <c r="B151" t="s">
        <v>242</v>
      </c>
      <c r="C151" t="s">
        <v>4907</v>
      </c>
      <c r="F151" s="688"/>
    </row>
    <row r="152" spans="2:6" x14ac:dyDescent="0.25">
      <c r="B152" t="s">
        <v>333</v>
      </c>
      <c r="C152" t="s">
        <v>4908</v>
      </c>
    </row>
    <row r="153" spans="2:6" x14ac:dyDescent="0.25">
      <c r="B153" t="s">
        <v>243</v>
      </c>
      <c r="C153" t="s">
        <v>4909</v>
      </c>
    </row>
    <row r="154" spans="2:6" x14ac:dyDescent="0.25">
      <c r="B154" t="s">
        <v>33</v>
      </c>
      <c r="C154" t="s">
        <v>4910</v>
      </c>
    </row>
    <row r="155" spans="2:6" x14ac:dyDescent="0.25">
      <c r="B155" t="s">
        <v>4819</v>
      </c>
      <c r="C155" t="s">
        <v>4911</v>
      </c>
    </row>
    <row r="156" spans="2:6" x14ac:dyDescent="0.25">
      <c r="B156" t="s">
        <v>244</v>
      </c>
      <c r="C156" t="s">
        <v>4996</v>
      </c>
    </row>
    <row r="157" spans="2:6" x14ac:dyDescent="0.25">
      <c r="B157" t="s">
        <v>245</v>
      </c>
      <c r="C157" t="s">
        <v>4912</v>
      </c>
    </row>
    <row r="158" spans="2:6" x14ac:dyDescent="0.25">
      <c r="B158" t="s">
        <v>253</v>
      </c>
      <c r="C158" t="s">
        <v>4913</v>
      </c>
    </row>
    <row r="159" spans="2:6" x14ac:dyDescent="0.25">
      <c r="B159" t="s">
        <v>4820</v>
      </c>
      <c r="C159" t="s">
        <v>4914</v>
      </c>
    </row>
    <row r="160" spans="2:6" x14ac:dyDescent="0.25">
      <c r="B160" t="s">
        <v>4677</v>
      </c>
      <c r="C160" t="s">
        <v>4915</v>
      </c>
    </row>
    <row r="161" spans="2:6" x14ac:dyDescent="0.25">
      <c r="B161" t="s">
        <v>246</v>
      </c>
      <c r="C161" t="s">
        <v>57</v>
      </c>
    </row>
    <row r="162" spans="2:6" x14ac:dyDescent="0.25">
      <c r="B162" t="s">
        <v>247</v>
      </c>
      <c r="C162" t="s">
        <v>4904</v>
      </c>
    </row>
    <row r="163" spans="2:6" x14ac:dyDescent="0.25">
      <c r="B163" t="s">
        <v>248</v>
      </c>
      <c r="C163" t="s">
        <v>4999</v>
      </c>
    </row>
    <row r="164" spans="2:6" x14ac:dyDescent="0.25">
      <c r="B164" t="s">
        <v>249</v>
      </c>
      <c r="C164" t="s">
        <v>4908</v>
      </c>
    </row>
    <row r="165" spans="2:6" x14ac:dyDescent="0.25">
      <c r="B165" t="s">
        <v>4793</v>
      </c>
      <c r="C165" t="s">
        <v>4916</v>
      </c>
      <c r="F165" s="501"/>
    </row>
    <row r="166" spans="2:6" x14ac:dyDescent="0.25">
      <c r="B166" s="543" t="s">
        <v>4822</v>
      </c>
      <c r="C166" s="543" t="s">
        <v>4917</v>
      </c>
    </row>
    <row r="167" spans="2:6" x14ac:dyDescent="0.25">
      <c r="B167" s="543" t="s">
        <v>4679</v>
      </c>
      <c r="C167" s="543" t="s">
        <v>92</v>
      </c>
    </row>
    <row r="168" spans="2:6" x14ac:dyDescent="0.25">
      <c r="B168" t="s">
        <v>250</v>
      </c>
      <c r="C168" t="s">
        <v>93</v>
      </c>
    </row>
    <row r="169" spans="2:6" x14ac:dyDescent="0.25">
      <c r="B169" t="s">
        <v>4823</v>
      </c>
      <c r="C169" t="s">
        <v>4823</v>
      </c>
    </row>
    <row r="170" spans="2:6" x14ac:dyDescent="0.25">
      <c r="B170" t="s">
        <v>330</v>
      </c>
      <c r="C170" t="s">
        <v>5058</v>
      </c>
    </row>
    <row r="171" spans="2:6" x14ac:dyDescent="0.25">
      <c r="B171" t="s">
        <v>252</v>
      </c>
      <c r="C171" t="s">
        <v>4918</v>
      </c>
    </row>
    <row r="172" spans="2:6" x14ac:dyDescent="0.25">
      <c r="B172" s="540" t="s">
        <v>253</v>
      </c>
      <c r="C172" t="s">
        <v>5000</v>
      </c>
    </row>
    <row r="173" spans="2:6" x14ac:dyDescent="0.25">
      <c r="B173" s="540" t="s">
        <v>107</v>
      </c>
      <c r="C173" s="540" t="s">
        <v>107</v>
      </c>
    </row>
    <row r="174" spans="2:6" x14ac:dyDescent="0.25">
      <c r="B174" s="540" t="s">
        <v>108</v>
      </c>
      <c r="C174" s="540" t="s">
        <v>108</v>
      </c>
    </row>
    <row r="175" spans="2:6" x14ac:dyDescent="0.25">
      <c r="B175" s="540" t="s">
        <v>109</v>
      </c>
      <c r="C175" s="540" t="s">
        <v>109</v>
      </c>
    </row>
    <row r="176" spans="2:6" x14ac:dyDescent="0.25">
      <c r="B176" s="540" t="s">
        <v>110</v>
      </c>
      <c r="C176" s="540" t="s">
        <v>110</v>
      </c>
    </row>
    <row r="177" spans="2:3" x14ac:dyDescent="0.25">
      <c r="B177" s="540" t="s">
        <v>254</v>
      </c>
      <c r="C177" s="540" t="s">
        <v>4634</v>
      </c>
    </row>
    <row r="178" spans="2:3" x14ac:dyDescent="0.25">
      <c r="B178" s="540" t="s">
        <v>255</v>
      </c>
      <c r="C178" s="540" t="s">
        <v>4539</v>
      </c>
    </row>
    <row r="179" spans="2:3" x14ac:dyDescent="0.25">
      <c r="B179" s="540" t="s">
        <v>257</v>
      </c>
      <c r="C179" s="540" t="s">
        <v>4540</v>
      </c>
    </row>
    <row r="180" spans="2:3" x14ac:dyDescent="0.25">
      <c r="B180" t="s">
        <v>171</v>
      </c>
      <c r="C180" t="s">
        <v>171</v>
      </c>
    </row>
    <row r="181" spans="2:3" x14ac:dyDescent="0.25">
      <c r="B181" t="s">
        <v>4680</v>
      </c>
      <c r="C181" t="s">
        <v>4919</v>
      </c>
    </row>
    <row r="182" spans="2:3" x14ac:dyDescent="0.25">
      <c r="B182" s="540" t="s">
        <v>256</v>
      </c>
      <c r="C182" s="540" t="s">
        <v>5142</v>
      </c>
    </row>
    <row r="183" spans="2:3" x14ac:dyDescent="0.25">
      <c r="B183" s="540" t="s">
        <v>258</v>
      </c>
      <c r="C183" s="540" t="s">
        <v>4920</v>
      </c>
    </row>
    <row r="184" spans="2:3" x14ac:dyDescent="0.25">
      <c r="B184" s="540" t="s">
        <v>259</v>
      </c>
      <c r="C184" s="540" t="s">
        <v>4921</v>
      </c>
    </row>
    <row r="185" spans="2:3" x14ac:dyDescent="0.25">
      <c r="B185" s="540" t="s">
        <v>4824</v>
      </c>
      <c r="C185" s="540" t="s">
        <v>4922</v>
      </c>
    </row>
    <row r="186" spans="2:3" x14ac:dyDescent="0.25">
      <c r="B186" t="s">
        <v>261</v>
      </c>
      <c r="C186" t="s">
        <v>4551</v>
      </c>
    </row>
    <row r="187" spans="2:3" x14ac:dyDescent="0.25">
      <c r="B187" t="s">
        <v>4727</v>
      </c>
      <c r="C187" t="s">
        <v>4923</v>
      </c>
    </row>
    <row r="188" spans="2:3" x14ac:dyDescent="0.25">
      <c r="B188" t="s">
        <v>262</v>
      </c>
      <c r="C188" t="s">
        <v>4924</v>
      </c>
    </row>
    <row r="189" spans="2:3" x14ac:dyDescent="0.25">
      <c r="B189" t="s">
        <v>100</v>
      </c>
      <c r="C189" t="s">
        <v>100</v>
      </c>
    </row>
    <row r="190" spans="2:3" x14ac:dyDescent="0.25">
      <c r="B190" t="s">
        <v>4825</v>
      </c>
      <c r="C190" t="s">
        <v>4925</v>
      </c>
    </row>
    <row r="191" spans="2:3" x14ac:dyDescent="0.25">
      <c r="B191" t="s">
        <v>4826</v>
      </c>
      <c r="C191" t="s">
        <v>4926</v>
      </c>
    </row>
    <row r="192" spans="2:3" x14ac:dyDescent="0.25">
      <c r="B192" t="s">
        <v>4682</v>
      </c>
      <c r="C192" t="s">
        <v>4805</v>
      </c>
    </row>
    <row r="193" spans="2:3" x14ac:dyDescent="0.25">
      <c r="B193" t="s">
        <v>4827</v>
      </c>
      <c r="C193" t="s">
        <v>4811</v>
      </c>
    </row>
    <row r="194" spans="2:3" x14ac:dyDescent="0.25">
      <c r="B194" t="s">
        <v>4684</v>
      </c>
      <c r="C194" t="s">
        <v>4927</v>
      </c>
    </row>
    <row r="195" spans="2:3" x14ac:dyDescent="0.25">
      <c r="B195" t="s">
        <v>340</v>
      </c>
      <c r="C195" t="s">
        <v>4928</v>
      </c>
    </row>
    <row r="196" spans="2:3" x14ac:dyDescent="0.25">
      <c r="B196" s="68" t="s">
        <v>4685</v>
      </c>
      <c r="C196" s="68" t="s">
        <v>4929</v>
      </c>
    </row>
    <row r="197" spans="2:3" x14ac:dyDescent="0.25">
      <c r="B197" s="68" t="s">
        <v>4686</v>
      </c>
      <c r="C197" s="68" t="s">
        <v>4930</v>
      </c>
    </row>
    <row r="198" spans="2:3" x14ac:dyDescent="0.25">
      <c r="B198" s="68" t="s">
        <v>4687</v>
      </c>
      <c r="C198" s="68" t="s">
        <v>4931</v>
      </c>
    </row>
    <row r="199" spans="2:3" x14ac:dyDescent="0.25">
      <c r="B199" s="68" t="s">
        <v>4688</v>
      </c>
      <c r="C199" s="68" t="s">
        <v>4932</v>
      </c>
    </row>
    <row r="200" spans="2:3" x14ac:dyDescent="0.25">
      <c r="B200" s="68" t="s">
        <v>264</v>
      </c>
      <c r="C200" s="68" t="s">
        <v>4933</v>
      </c>
    </row>
    <row r="201" spans="2:3" x14ac:dyDescent="0.25">
      <c r="B201" s="68" t="s">
        <v>265</v>
      </c>
      <c r="C201" s="68" t="s">
        <v>4934</v>
      </c>
    </row>
    <row r="202" spans="2:3" x14ac:dyDescent="0.25">
      <c r="B202" s="68" t="s">
        <v>266</v>
      </c>
      <c r="C202" s="68" t="s">
        <v>4935</v>
      </c>
    </row>
    <row r="203" spans="2:3" x14ac:dyDescent="0.25">
      <c r="B203" s="68" t="s">
        <v>267</v>
      </c>
      <c r="C203" s="68" t="s">
        <v>4936</v>
      </c>
    </row>
    <row r="204" spans="2:3" x14ac:dyDescent="0.25">
      <c r="B204" s="548" t="s">
        <v>268</v>
      </c>
      <c r="C204" s="548" t="s">
        <v>4937</v>
      </c>
    </row>
    <row r="205" spans="2:3" x14ac:dyDescent="0.25">
      <c r="B205" s="549" t="s">
        <v>227</v>
      </c>
      <c r="C205" s="549" t="s">
        <v>85</v>
      </c>
    </row>
    <row r="206" spans="2:3" x14ac:dyDescent="0.25">
      <c r="B206" s="550" t="s">
        <v>269</v>
      </c>
      <c r="C206" s="550" t="s">
        <v>4938</v>
      </c>
    </row>
    <row r="207" spans="2:3" x14ac:dyDescent="0.25">
      <c r="B207" s="68" t="s">
        <v>270</v>
      </c>
      <c r="C207" s="68" t="s">
        <v>4939</v>
      </c>
    </row>
    <row r="208" spans="2:3" x14ac:dyDescent="0.25">
      <c r="B208" s="68" t="s">
        <v>271</v>
      </c>
      <c r="C208" s="68" t="s">
        <v>4940</v>
      </c>
    </row>
    <row r="209" spans="2:3" x14ac:dyDescent="0.25">
      <c r="B209" s="68" t="s">
        <v>272</v>
      </c>
      <c r="C209" s="68" t="s">
        <v>4941</v>
      </c>
    </row>
    <row r="210" spans="2:3" x14ac:dyDescent="0.25">
      <c r="B210" s="68" t="s">
        <v>5154</v>
      </c>
      <c r="C210" s="68" t="s">
        <v>5153</v>
      </c>
    </row>
    <row r="211" spans="2:3" x14ac:dyDescent="0.25">
      <c r="B211" s="68" t="s">
        <v>5155</v>
      </c>
      <c r="C211" s="68" t="s">
        <v>5157</v>
      </c>
    </row>
    <row r="212" spans="2:3" x14ac:dyDescent="0.25">
      <c r="B212" s="68" t="s">
        <v>5156</v>
      </c>
      <c r="C212" s="68" t="s">
        <v>5158</v>
      </c>
    </row>
    <row r="213" spans="2:3" x14ac:dyDescent="0.25">
      <c r="B213" s="68" t="s">
        <v>273</v>
      </c>
      <c r="C213" s="68" t="s">
        <v>4942</v>
      </c>
    </row>
    <row r="214" spans="2:3" x14ac:dyDescent="0.25">
      <c r="B214" s="68" t="s">
        <v>274</v>
      </c>
      <c r="C214" s="68" t="s">
        <v>4943</v>
      </c>
    </row>
    <row r="215" spans="2:3" x14ac:dyDescent="0.25">
      <c r="B215" s="68" t="s">
        <v>275</v>
      </c>
      <c r="C215" s="68" t="s">
        <v>4944</v>
      </c>
    </row>
    <row r="216" spans="2:3" x14ac:dyDescent="0.25">
      <c r="B216" s="68" t="s">
        <v>276</v>
      </c>
      <c r="C216" s="68" t="s">
        <v>4945</v>
      </c>
    </row>
    <row r="217" spans="2:3" x14ac:dyDescent="0.25">
      <c r="B217" s="68" t="s">
        <v>277</v>
      </c>
      <c r="C217" s="68" t="s">
        <v>4946</v>
      </c>
    </row>
    <row r="218" spans="2:3" x14ac:dyDescent="0.25">
      <c r="B218" s="68" t="s">
        <v>278</v>
      </c>
      <c r="C218" s="68" t="s">
        <v>4947</v>
      </c>
    </row>
    <row r="219" spans="2:3" x14ac:dyDescent="0.25">
      <c r="B219" s="68" t="s">
        <v>18</v>
      </c>
      <c r="C219" s="68" t="s">
        <v>18</v>
      </c>
    </row>
    <row r="220" spans="2:3" x14ac:dyDescent="0.25">
      <c r="B220" s="68" t="s">
        <v>279</v>
      </c>
      <c r="C220" s="68" t="s">
        <v>4948</v>
      </c>
    </row>
    <row r="221" spans="2:3" x14ac:dyDescent="0.25">
      <c r="B221" s="68" t="s">
        <v>131</v>
      </c>
      <c r="C221" s="68" t="s">
        <v>131</v>
      </c>
    </row>
    <row r="222" spans="2:3" x14ac:dyDescent="0.25">
      <c r="B222" s="68" t="s">
        <v>274</v>
      </c>
      <c r="C222" s="68" t="s">
        <v>4943</v>
      </c>
    </row>
    <row r="223" spans="2:3" x14ac:dyDescent="0.25">
      <c r="B223" s="68" t="s">
        <v>280</v>
      </c>
      <c r="C223" s="68" t="s">
        <v>4949</v>
      </c>
    </row>
    <row r="224" spans="2:3" x14ac:dyDescent="0.25">
      <c r="B224" s="68" t="s">
        <v>281</v>
      </c>
      <c r="C224" s="68" t="s">
        <v>4950</v>
      </c>
    </row>
    <row r="225" spans="1:3" x14ac:dyDescent="0.25">
      <c r="B225" s="547" t="s">
        <v>282</v>
      </c>
      <c r="C225" s="547" t="s">
        <v>4951</v>
      </c>
    </row>
    <row r="226" spans="1:3" x14ac:dyDescent="0.25">
      <c r="B226" s="68" t="s">
        <v>283</v>
      </c>
      <c r="C226" s="68" t="s">
        <v>4952</v>
      </c>
    </row>
    <row r="227" spans="1:3" x14ac:dyDescent="0.25">
      <c r="B227" s="68" t="s">
        <v>284</v>
      </c>
      <c r="C227" s="68" t="s">
        <v>4953</v>
      </c>
    </row>
    <row r="228" spans="1:3" x14ac:dyDescent="0.25">
      <c r="B228" s="68" t="s">
        <v>285</v>
      </c>
      <c r="C228" s="68" t="s">
        <v>4954</v>
      </c>
    </row>
    <row r="229" spans="1:3" x14ac:dyDescent="0.25">
      <c r="B229" s="68" t="s">
        <v>367</v>
      </c>
      <c r="C229" s="68" t="s">
        <v>4955</v>
      </c>
    </row>
    <row r="230" spans="1:3" x14ac:dyDescent="0.25">
      <c r="B230" s="68" t="s">
        <v>4547</v>
      </c>
      <c r="C230" s="68" t="s">
        <v>4548</v>
      </c>
    </row>
    <row r="231" spans="1:3" x14ac:dyDescent="0.25">
      <c r="B231" s="68" t="s">
        <v>4549</v>
      </c>
      <c r="C231" s="68" t="s">
        <v>4550</v>
      </c>
    </row>
    <row r="232" spans="1:3" x14ac:dyDescent="0.25">
      <c r="B232" s="68" t="s">
        <v>367</v>
      </c>
      <c r="C232" s="68" t="s">
        <v>4551</v>
      </c>
    </row>
    <row r="233" spans="1:3" x14ac:dyDescent="0.25">
      <c r="B233" s="14" t="s">
        <v>4552</v>
      </c>
      <c r="C233" s="68" t="s">
        <v>4553</v>
      </c>
    </row>
    <row r="234" spans="1:3" s="552" customFormat="1" ht="15.75" x14ac:dyDescent="0.25">
      <c r="A234" s="677" t="s">
        <v>4737</v>
      </c>
      <c r="B234" s="551"/>
    </row>
    <row r="235" spans="1:3" ht="15.75" x14ac:dyDescent="0.25">
      <c r="B235" s="553" t="s">
        <v>70</v>
      </c>
      <c r="C235" s="553" t="s">
        <v>70</v>
      </c>
    </row>
    <row r="236" spans="1:3" x14ac:dyDescent="0.25">
      <c r="B236" s="554" t="s">
        <v>4472</v>
      </c>
      <c r="C236" s="554" t="s">
        <v>4472</v>
      </c>
    </row>
    <row r="237" spans="1:3" x14ac:dyDescent="0.25">
      <c r="B237" s="85" t="s">
        <v>4496</v>
      </c>
      <c r="C237" s="85" t="s">
        <v>4956</v>
      </c>
    </row>
    <row r="238" spans="1:3" ht="15.75" x14ac:dyDescent="0.25">
      <c r="B238" s="553" t="s">
        <v>71</v>
      </c>
      <c r="C238" s="553" t="s">
        <v>71</v>
      </c>
    </row>
    <row r="239" spans="1:3" x14ac:dyDescent="0.25">
      <c r="B239" t="s">
        <v>4554</v>
      </c>
      <c r="C239" t="s">
        <v>4555</v>
      </c>
    </row>
    <row r="240" spans="1:3" x14ac:dyDescent="0.25">
      <c r="B240" t="s">
        <v>286</v>
      </c>
      <c r="C240" t="s">
        <v>55</v>
      </c>
    </row>
    <row r="241" spans="2:3" x14ac:dyDescent="0.25">
      <c r="B241" t="s">
        <v>246</v>
      </c>
      <c r="C241" t="s">
        <v>57</v>
      </c>
    </row>
    <row r="242" spans="2:3" ht="15.75" x14ac:dyDescent="0.25">
      <c r="B242" s="553" t="s">
        <v>113</v>
      </c>
      <c r="C242" s="553" t="s">
        <v>113</v>
      </c>
    </row>
    <row r="243" spans="2:3" ht="15.75" x14ac:dyDescent="0.25">
      <c r="B243" s="553" t="s">
        <v>135</v>
      </c>
      <c r="C243" s="553" t="s">
        <v>135</v>
      </c>
    </row>
    <row r="244" spans="2:3" ht="15.75" x14ac:dyDescent="0.25">
      <c r="B244" s="553" t="s">
        <v>139</v>
      </c>
      <c r="C244" s="553" t="s">
        <v>139</v>
      </c>
    </row>
    <row r="245" spans="2:3" x14ac:dyDescent="0.25">
      <c r="B245" t="s">
        <v>4556</v>
      </c>
      <c r="C245" t="s">
        <v>4557</v>
      </c>
    </row>
    <row r="246" spans="2:3" x14ac:dyDescent="0.25">
      <c r="B246" t="s">
        <v>4558</v>
      </c>
      <c r="C246" t="s">
        <v>4559</v>
      </c>
    </row>
    <row r="247" spans="2:3" x14ac:dyDescent="0.25">
      <c r="B247" t="s">
        <v>4560</v>
      </c>
      <c r="C247" t="s">
        <v>4561</v>
      </c>
    </row>
    <row r="248" spans="2:3" x14ac:dyDescent="0.25">
      <c r="B248" t="s">
        <v>4562</v>
      </c>
      <c r="C248" t="s">
        <v>4563</v>
      </c>
    </row>
    <row r="249" spans="2:3" ht="15.75" x14ac:dyDescent="0.25">
      <c r="B249" s="555" t="s">
        <v>140</v>
      </c>
      <c r="C249" s="555" t="s">
        <v>140</v>
      </c>
    </row>
    <row r="250" spans="2:3" ht="15.75" x14ac:dyDescent="0.25">
      <c r="B250" s="555" t="s">
        <v>141</v>
      </c>
      <c r="C250" s="555" t="s">
        <v>141</v>
      </c>
    </row>
    <row r="251" spans="2:3" x14ac:dyDescent="0.25">
      <c r="B251" t="s">
        <v>4564</v>
      </c>
      <c r="C251" t="s">
        <v>4564</v>
      </c>
    </row>
    <row r="252" spans="2:3" x14ac:dyDescent="0.25">
      <c r="B252" t="s">
        <v>4565</v>
      </c>
      <c r="C252" t="s">
        <v>4565</v>
      </c>
    </row>
    <row r="253" spans="2:3" x14ac:dyDescent="0.25">
      <c r="B253" t="s">
        <v>291</v>
      </c>
      <c r="C253" t="s">
        <v>5062</v>
      </c>
    </row>
    <row r="254" spans="2:3" ht="15.75" x14ac:dyDescent="0.25">
      <c r="B254" s="555" t="s">
        <v>142</v>
      </c>
      <c r="C254" s="555" t="s">
        <v>142</v>
      </c>
    </row>
    <row r="255" spans="2:3" x14ac:dyDescent="0.25">
      <c r="B255" t="s">
        <v>13</v>
      </c>
      <c r="C255" t="s">
        <v>13</v>
      </c>
    </row>
    <row r="256" spans="2:3" x14ac:dyDescent="0.25">
      <c r="B256" t="s">
        <v>128</v>
      </c>
      <c r="C256" t="s">
        <v>128</v>
      </c>
    </row>
    <row r="257" spans="2:3" x14ac:dyDescent="0.25">
      <c r="B257" t="s">
        <v>292</v>
      </c>
      <c r="C257" t="s">
        <v>4957</v>
      </c>
    </row>
    <row r="258" spans="2:3" ht="15.75" x14ac:dyDescent="0.25">
      <c r="B258" s="555" t="s">
        <v>143</v>
      </c>
      <c r="C258" s="555" t="s">
        <v>143</v>
      </c>
    </row>
    <row r="259" spans="2:3" x14ac:dyDescent="0.25">
      <c r="B259" t="s">
        <v>4566</v>
      </c>
      <c r="C259" t="s">
        <v>4958</v>
      </c>
    </row>
    <row r="260" spans="2:3" ht="15.75" x14ac:dyDescent="0.25">
      <c r="B260" s="555" t="s">
        <v>144</v>
      </c>
      <c r="C260" s="555" t="s">
        <v>144</v>
      </c>
    </row>
    <row r="261" spans="2:3" x14ac:dyDescent="0.25">
      <c r="B261" t="s">
        <v>4520</v>
      </c>
      <c r="C261" t="s">
        <v>4521</v>
      </c>
    </row>
    <row r="262" spans="2:3" x14ac:dyDescent="0.25">
      <c r="B262" t="s">
        <v>4567</v>
      </c>
      <c r="C262" t="s">
        <v>4568</v>
      </c>
    </row>
    <row r="263" spans="2:3" x14ac:dyDescent="0.25">
      <c r="B263" t="s">
        <v>301</v>
      </c>
      <c r="C263" t="s">
        <v>4569</v>
      </c>
    </row>
    <row r="264" spans="2:3" ht="15.75" x14ac:dyDescent="0.25">
      <c r="B264" s="555" t="s">
        <v>302</v>
      </c>
      <c r="C264" s="555" t="s">
        <v>302</v>
      </c>
    </row>
    <row r="265" spans="2:3" x14ac:dyDescent="0.25">
      <c r="B265" t="s">
        <v>303</v>
      </c>
      <c r="C265" t="s">
        <v>4570</v>
      </c>
    </row>
    <row r="266" spans="2:3" x14ac:dyDescent="0.25">
      <c r="B266" t="s">
        <v>304</v>
      </c>
      <c r="C266" t="s">
        <v>4571</v>
      </c>
    </row>
    <row r="267" spans="2:3" x14ac:dyDescent="0.25">
      <c r="B267" t="s">
        <v>305</v>
      </c>
      <c r="C267" t="s">
        <v>4572</v>
      </c>
    </row>
    <row r="268" spans="2:3" x14ac:dyDescent="0.25">
      <c r="B268" t="s">
        <v>306</v>
      </c>
      <c r="C268" t="s">
        <v>4573</v>
      </c>
    </row>
    <row r="269" spans="2:3" x14ac:dyDescent="0.25">
      <c r="B269" t="s">
        <v>307</v>
      </c>
      <c r="C269" t="s">
        <v>4574</v>
      </c>
    </row>
    <row r="270" spans="2:3" x14ac:dyDescent="0.25">
      <c r="B270" t="s">
        <v>308</v>
      </c>
      <c r="C270" t="s">
        <v>4575</v>
      </c>
    </row>
    <row r="271" spans="2:3" x14ac:dyDescent="0.25">
      <c r="B271" t="s">
        <v>309</v>
      </c>
      <c r="C271" t="s">
        <v>4576</v>
      </c>
    </row>
    <row r="272" spans="2:3" x14ac:dyDescent="0.25">
      <c r="B272" t="s">
        <v>4577</v>
      </c>
      <c r="C272" t="s">
        <v>4578</v>
      </c>
    </row>
    <row r="273" spans="2:3" x14ac:dyDescent="0.25">
      <c r="B273" t="s">
        <v>4579</v>
      </c>
      <c r="C273" t="s">
        <v>4580</v>
      </c>
    </row>
    <row r="274" spans="2:3" x14ac:dyDescent="0.25">
      <c r="B274" t="s">
        <v>220</v>
      </c>
      <c r="C274" t="s">
        <v>4522</v>
      </c>
    </row>
    <row r="275" spans="2:3" ht="15.75" x14ac:dyDescent="0.25">
      <c r="B275" s="556" t="s">
        <v>98</v>
      </c>
      <c r="C275" s="556" t="s">
        <v>98</v>
      </c>
    </row>
    <row r="276" spans="2:3" x14ac:dyDescent="0.25">
      <c r="B276" t="s">
        <v>316</v>
      </c>
      <c r="C276" t="s">
        <v>4959</v>
      </c>
    </row>
    <row r="277" spans="2:3" x14ac:dyDescent="0.25">
      <c r="B277" t="s">
        <v>317</v>
      </c>
      <c r="C277" t="s">
        <v>4960</v>
      </c>
    </row>
    <row r="278" spans="2:3" x14ac:dyDescent="0.25">
      <c r="B278" t="s">
        <v>318</v>
      </c>
      <c r="C278" t="s">
        <v>4961</v>
      </c>
    </row>
    <row r="279" spans="2:3" ht="15.75" x14ac:dyDescent="0.25">
      <c r="B279" s="555" t="s">
        <v>4581</v>
      </c>
      <c r="C279" s="555" t="s">
        <v>4581</v>
      </c>
    </row>
    <row r="280" spans="2:3" x14ac:dyDescent="0.25">
      <c r="B280" t="s">
        <v>211</v>
      </c>
      <c r="C280" t="s">
        <v>4524</v>
      </c>
    </row>
    <row r="281" spans="2:3" x14ac:dyDescent="0.25">
      <c r="B281" t="s">
        <v>168</v>
      </c>
      <c r="C281" t="s">
        <v>168</v>
      </c>
    </row>
    <row r="282" spans="2:3" x14ac:dyDescent="0.25">
      <c r="B282" t="s">
        <v>41</v>
      </c>
      <c r="C282" t="s">
        <v>41</v>
      </c>
    </row>
    <row r="283" spans="2:3" x14ac:dyDescent="0.25">
      <c r="B283" t="s">
        <v>4582</v>
      </c>
      <c r="C283" t="s">
        <v>82</v>
      </c>
    </row>
    <row r="284" spans="2:3" x14ac:dyDescent="0.25">
      <c r="B284" s="201" t="s">
        <v>85</v>
      </c>
      <c r="C284" s="201" t="s">
        <v>85</v>
      </c>
    </row>
    <row r="285" spans="2:3" x14ac:dyDescent="0.25">
      <c r="B285" t="s">
        <v>4529</v>
      </c>
      <c r="C285" t="s">
        <v>4530</v>
      </c>
    </row>
    <row r="286" spans="2:3" x14ac:dyDescent="0.25">
      <c r="B286" t="s">
        <v>230</v>
      </c>
      <c r="C286" t="s">
        <v>4528</v>
      </c>
    </row>
    <row r="287" spans="2:3" x14ac:dyDescent="0.25">
      <c r="B287" t="s">
        <v>4583</v>
      </c>
      <c r="C287" t="s">
        <v>4584</v>
      </c>
    </row>
    <row r="288" spans="2:3" x14ac:dyDescent="0.25">
      <c r="B288" t="s">
        <v>4585</v>
      </c>
      <c r="C288" t="s">
        <v>4586</v>
      </c>
    </row>
    <row r="289" spans="2:4" x14ac:dyDescent="0.25">
      <c r="B289" t="s">
        <v>4587</v>
      </c>
      <c r="C289" t="s">
        <v>4588</v>
      </c>
    </row>
    <row r="290" spans="2:4" x14ac:dyDescent="0.25">
      <c r="B290" t="s">
        <v>4535</v>
      </c>
      <c r="C290" t="s">
        <v>4536</v>
      </c>
    </row>
    <row r="291" spans="2:4" x14ac:dyDescent="0.25">
      <c r="B291" t="s">
        <v>4531</v>
      </c>
      <c r="C291" t="s">
        <v>4532</v>
      </c>
    </row>
    <row r="292" spans="2:4" x14ac:dyDescent="0.25">
      <c r="B292" t="s">
        <v>4533</v>
      </c>
      <c r="C292" t="s">
        <v>4534</v>
      </c>
      <c r="D292" s="14"/>
    </row>
    <row r="293" spans="2:4" x14ac:dyDescent="0.25">
      <c r="B293" s="14" t="s">
        <v>4589</v>
      </c>
      <c r="C293" t="s">
        <v>4590</v>
      </c>
    </row>
    <row r="294" spans="2:4" x14ac:dyDescent="0.25">
      <c r="B294" s="14" t="s">
        <v>4591</v>
      </c>
      <c r="C294" t="s">
        <v>4592</v>
      </c>
    </row>
    <row r="295" spans="2:4" x14ac:dyDescent="0.25">
      <c r="B295" s="14" t="s">
        <v>4593</v>
      </c>
      <c r="C295" s="14" t="s">
        <v>4966</v>
      </c>
    </row>
    <row r="296" spans="2:4" x14ac:dyDescent="0.25">
      <c r="B296" s="14" t="s">
        <v>4594</v>
      </c>
      <c r="C296" s="14" t="s">
        <v>4967</v>
      </c>
    </row>
    <row r="297" spans="2:4" x14ac:dyDescent="0.25">
      <c r="B297" t="s">
        <v>4595</v>
      </c>
      <c r="C297" t="s">
        <v>4596</v>
      </c>
    </row>
    <row r="298" spans="2:4" x14ac:dyDescent="0.25">
      <c r="B298" t="s">
        <v>4597</v>
      </c>
      <c r="C298" t="s">
        <v>4598</v>
      </c>
    </row>
    <row r="299" spans="2:4" x14ac:dyDescent="0.25">
      <c r="B299" t="s">
        <v>4537</v>
      </c>
      <c r="C299" t="s">
        <v>4599</v>
      </c>
    </row>
    <row r="300" spans="2:4" x14ac:dyDescent="0.25">
      <c r="B300" t="s">
        <v>4600</v>
      </c>
      <c r="C300" t="s">
        <v>4601</v>
      </c>
    </row>
    <row r="301" spans="2:4" x14ac:dyDescent="0.25">
      <c r="B301" t="s">
        <v>4602</v>
      </c>
      <c r="C301" t="s">
        <v>4603</v>
      </c>
    </row>
    <row r="302" spans="2:4" x14ac:dyDescent="0.25">
      <c r="B302" t="s">
        <v>326</v>
      </c>
      <c r="C302" t="s">
        <v>4604</v>
      </c>
    </row>
    <row r="303" spans="2:4" ht="18" customHeight="1" x14ac:dyDescent="0.25">
      <c r="B303" t="s">
        <v>327</v>
      </c>
      <c r="C303" t="s">
        <v>4605</v>
      </c>
    </row>
    <row r="304" spans="2:4" ht="18" customHeight="1" x14ac:dyDescent="0.25">
      <c r="B304" t="s">
        <v>4606</v>
      </c>
      <c r="C304" t="s">
        <v>4607</v>
      </c>
    </row>
    <row r="305" spans="2:3" x14ac:dyDescent="0.25">
      <c r="B305" t="s">
        <v>4608</v>
      </c>
      <c r="C305" t="s">
        <v>4542</v>
      </c>
    </row>
    <row r="306" spans="2:3" x14ac:dyDescent="0.25">
      <c r="B306" t="s">
        <v>4609</v>
      </c>
      <c r="C306" t="s">
        <v>4543</v>
      </c>
    </row>
    <row r="307" spans="2:3" x14ac:dyDescent="0.25">
      <c r="B307" t="s">
        <v>4610</v>
      </c>
      <c r="C307" t="s">
        <v>4544</v>
      </c>
    </row>
    <row r="308" spans="2:3" x14ac:dyDescent="0.25">
      <c r="B308" t="s">
        <v>4611</v>
      </c>
      <c r="C308" t="s">
        <v>4545</v>
      </c>
    </row>
    <row r="309" spans="2:3" x14ac:dyDescent="0.25">
      <c r="B309" t="s">
        <v>328</v>
      </c>
      <c r="C309" t="s">
        <v>4612</v>
      </c>
    </row>
    <row r="310" spans="2:3" x14ac:dyDescent="0.25">
      <c r="B310" t="s">
        <v>329</v>
      </c>
      <c r="C310" t="s">
        <v>4613</v>
      </c>
    </row>
    <row r="311" spans="2:3" x14ac:dyDescent="0.25">
      <c r="B311" t="s">
        <v>330</v>
      </c>
      <c r="C311" t="s">
        <v>4614</v>
      </c>
    </row>
    <row r="312" spans="2:3" x14ac:dyDescent="0.25">
      <c r="B312" t="s">
        <v>4615</v>
      </c>
      <c r="C312" t="s">
        <v>4616</v>
      </c>
    </row>
    <row r="313" spans="2:3" x14ac:dyDescent="0.25">
      <c r="B313" t="s">
        <v>4617</v>
      </c>
      <c r="C313" t="s">
        <v>4618</v>
      </c>
    </row>
    <row r="314" spans="2:3" x14ac:dyDescent="0.25">
      <c r="B314" t="s">
        <v>4619</v>
      </c>
      <c r="C314" t="s">
        <v>4620</v>
      </c>
    </row>
    <row r="315" spans="2:3" x14ac:dyDescent="0.25">
      <c r="B315" t="s">
        <v>4621</v>
      </c>
      <c r="C315" t="s">
        <v>4622</v>
      </c>
    </row>
    <row r="316" spans="2:3" x14ac:dyDescent="0.25">
      <c r="B316" t="s">
        <v>331</v>
      </c>
      <c r="C316" t="s">
        <v>4623</v>
      </c>
    </row>
    <row r="317" spans="2:3" x14ac:dyDescent="0.25">
      <c r="B317" t="s">
        <v>332</v>
      </c>
      <c r="C317" t="s">
        <v>4624</v>
      </c>
    </row>
    <row r="318" spans="2:3" x14ac:dyDescent="0.25">
      <c r="B318" t="s">
        <v>4625</v>
      </c>
      <c r="C318" t="s">
        <v>4626</v>
      </c>
    </row>
    <row r="319" spans="2:3" x14ac:dyDescent="0.25">
      <c r="B319" t="s">
        <v>33</v>
      </c>
      <c r="C319" t="s">
        <v>4538</v>
      </c>
    </row>
    <row r="320" spans="2:3" x14ac:dyDescent="0.25">
      <c r="B320" t="s">
        <v>18</v>
      </c>
      <c r="C320" t="s">
        <v>18</v>
      </c>
    </row>
    <row r="321" spans="1:3" x14ac:dyDescent="0.25">
      <c r="B321" t="s">
        <v>3859</v>
      </c>
      <c r="C321" t="s">
        <v>4627</v>
      </c>
    </row>
    <row r="322" spans="1:3" x14ac:dyDescent="0.25">
      <c r="B322" s="64" t="s">
        <v>4628</v>
      </c>
      <c r="C322" s="64" t="s">
        <v>4628</v>
      </c>
    </row>
    <row r="323" spans="1:3" x14ac:dyDescent="0.25">
      <c r="A323" s="1" t="s">
        <v>167</v>
      </c>
      <c r="B323" s="64" t="s">
        <v>4629</v>
      </c>
      <c r="C323" s="540" t="s">
        <v>4546</v>
      </c>
    </row>
    <row r="324" spans="1:3" x14ac:dyDescent="0.25">
      <c r="B324" t="s">
        <v>4630</v>
      </c>
      <c r="C324" t="s">
        <v>4631</v>
      </c>
    </row>
    <row r="325" spans="1:3" ht="23.25" x14ac:dyDescent="0.35">
      <c r="B325" s="537" t="s">
        <v>4638</v>
      </c>
    </row>
    <row r="326" spans="1:3" ht="18.75" x14ac:dyDescent="0.3">
      <c r="A326" s="679" t="s">
        <v>4760</v>
      </c>
      <c r="B326" t="s">
        <v>4690</v>
      </c>
      <c r="C326" t="s">
        <v>4746</v>
      </c>
    </row>
    <row r="327" spans="1:3" x14ac:dyDescent="0.25">
      <c r="B327" t="s">
        <v>180</v>
      </c>
      <c r="C327" t="s">
        <v>4541</v>
      </c>
    </row>
    <row r="328" spans="1:3" x14ac:dyDescent="0.25">
      <c r="B328" t="s">
        <v>4481</v>
      </c>
      <c r="C328" t="s">
        <v>4482</v>
      </c>
    </row>
    <row r="329" spans="1:3" x14ac:dyDescent="0.25">
      <c r="B329" t="s">
        <v>181</v>
      </c>
      <c r="C329" t="s">
        <v>4479</v>
      </c>
    </row>
    <row r="330" spans="1:3" x14ac:dyDescent="0.25">
      <c r="B330" t="s">
        <v>182</v>
      </c>
      <c r="C330" t="s">
        <v>4480</v>
      </c>
    </row>
    <row r="331" spans="1:3" x14ac:dyDescent="0.25">
      <c r="B331" t="s">
        <v>183</v>
      </c>
      <c r="C331" t="s">
        <v>4645</v>
      </c>
    </row>
    <row r="332" spans="1:3" x14ac:dyDescent="0.25">
      <c r="B332" t="s">
        <v>184</v>
      </c>
      <c r="C332" t="s">
        <v>4483</v>
      </c>
    </row>
    <row r="333" spans="1:3" x14ac:dyDescent="0.25">
      <c r="B333" t="s">
        <v>185</v>
      </c>
      <c r="C333" t="s">
        <v>4744</v>
      </c>
    </row>
    <row r="334" spans="1:3" x14ac:dyDescent="0.25">
      <c r="B334" t="s">
        <v>186</v>
      </c>
      <c r="C334" t="s">
        <v>4485</v>
      </c>
    </row>
    <row r="335" spans="1:3" x14ac:dyDescent="0.25">
      <c r="B335" t="s">
        <v>0</v>
      </c>
      <c r="C335" t="s">
        <v>0</v>
      </c>
    </row>
    <row r="336" spans="1:3" x14ac:dyDescent="0.25">
      <c r="B336" t="s">
        <v>187</v>
      </c>
      <c r="C336" t="s">
        <v>4486</v>
      </c>
    </row>
    <row r="337" spans="2:3" x14ac:dyDescent="0.25">
      <c r="B337" t="s">
        <v>188</v>
      </c>
      <c r="C337" t="s">
        <v>4699</v>
      </c>
    </row>
    <row r="338" spans="2:3" x14ac:dyDescent="0.25">
      <c r="B338" t="s">
        <v>126</v>
      </c>
      <c r="C338" t="s">
        <v>164</v>
      </c>
    </row>
    <row r="339" spans="2:3" x14ac:dyDescent="0.25">
      <c r="B339" t="s">
        <v>341</v>
      </c>
      <c r="C339" t="s">
        <v>4745</v>
      </c>
    </row>
    <row r="340" spans="2:3" x14ac:dyDescent="0.25">
      <c r="B340" t="s">
        <v>4487</v>
      </c>
      <c r="C340" s="14" t="s">
        <v>4488</v>
      </c>
    </row>
    <row r="341" spans="2:3" x14ac:dyDescent="0.25">
      <c r="B341" t="s">
        <v>4489</v>
      </c>
      <c r="C341" s="14" t="s">
        <v>4490</v>
      </c>
    </row>
    <row r="342" spans="2:3" x14ac:dyDescent="0.25">
      <c r="B342" t="s">
        <v>4828</v>
      </c>
      <c r="C342" s="14" t="s">
        <v>4491</v>
      </c>
    </row>
    <row r="343" spans="2:3" x14ac:dyDescent="0.25">
      <c r="B343" t="s">
        <v>4492</v>
      </c>
      <c r="C343" s="14" t="s">
        <v>4493</v>
      </c>
    </row>
    <row r="344" spans="2:3" x14ac:dyDescent="0.25">
      <c r="B344" t="s">
        <v>4494</v>
      </c>
      <c r="C344" s="14" t="s">
        <v>4495</v>
      </c>
    </row>
    <row r="345" spans="2:3" x14ac:dyDescent="0.25">
      <c r="B345" t="s">
        <v>4691</v>
      </c>
      <c r="C345" t="s">
        <v>4747</v>
      </c>
    </row>
    <row r="346" spans="2:3" x14ac:dyDescent="0.25">
      <c r="B346" t="s">
        <v>4692</v>
      </c>
      <c r="C346" t="s">
        <v>4749</v>
      </c>
    </row>
    <row r="347" spans="2:3" x14ac:dyDescent="0.25">
      <c r="B347" t="s">
        <v>4693</v>
      </c>
      <c r="C347" t="s">
        <v>4748</v>
      </c>
    </row>
    <row r="348" spans="2:3" ht="15.75" x14ac:dyDescent="0.25">
      <c r="B348" s="295" t="s">
        <v>4694</v>
      </c>
      <c r="C348" s="295" t="s">
        <v>4694</v>
      </c>
    </row>
    <row r="349" spans="2:3" x14ac:dyDescent="0.25">
      <c r="B349" t="s">
        <v>4695</v>
      </c>
      <c r="C349" t="s">
        <v>4695</v>
      </c>
    </row>
    <row r="350" spans="2:3" x14ac:dyDescent="0.25">
      <c r="B350" t="s">
        <v>4696</v>
      </c>
      <c r="C350" t="s">
        <v>4696</v>
      </c>
    </row>
    <row r="351" spans="2:3" x14ac:dyDescent="0.25">
      <c r="B351" t="s">
        <v>4697</v>
      </c>
      <c r="C351" t="s">
        <v>4750</v>
      </c>
    </row>
    <row r="352" spans="2:3" x14ac:dyDescent="0.25">
      <c r="B352" t="s">
        <v>4698</v>
      </c>
      <c r="C352" t="s">
        <v>4751</v>
      </c>
    </row>
    <row r="353" spans="2:3" x14ac:dyDescent="0.25">
      <c r="B353" t="s">
        <v>345</v>
      </c>
      <c r="C353" t="s">
        <v>4752</v>
      </c>
    </row>
    <row r="354" spans="2:3" x14ac:dyDescent="0.25">
      <c r="B354" t="s">
        <v>346</v>
      </c>
      <c r="C354" t="s">
        <v>4753</v>
      </c>
    </row>
    <row r="355" spans="2:3" x14ac:dyDescent="0.25">
      <c r="B355" t="s">
        <v>4469</v>
      </c>
      <c r="C355" t="s">
        <v>4962</v>
      </c>
    </row>
    <row r="356" spans="2:3" x14ac:dyDescent="0.25">
      <c r="B356" t="s">
        <v>4469</v>
      </c>
      <c r="C356" t="s">
        <v>4962</v>
      </c>
    </row>
    <row r="357" spans="2:3" x14ac:dyDescent="0.25">
      <c r="B357" s="34" t="s">
        <v>4632</v>
      </c>
      <c r="C357" s="34" t="s">
        <v>4633</v>
      </c>
    </row>
    <row r="358" spans="2:3" x14ac:dyDescent="0.25">
      <c r="B358" t="s">
        <v>4700</v>
      </c>
      <c r="C358" t="s">
        <v>4754</v>
      </c>
    </row>
    <row r="359" spans="2:3" x14ac:dyDescent="0.25">
      <c r="B359" t="s">
        <v>4701</v>
      </c>
      <c r="C359" t="s">
        <v>4755</v>
      </c>
    </row>
    <row r="360" spans="2:3" x14ac:dyDescent="0.25">
      <c r="B360" s="540" t="s">
        <v>4500</v>
      </c>
      <c r="C360" s="540" t="s">
        <v>4501</v>
      </c>
    </row>
    <row r="361" spans="2:3" x14ac:dyDescent="0.25">
      <c r="B361" t="s">
        <v>4502</v>
      </c>
      <c r="C361" t="s">
        <v>4503</v>
      </c>
    </row>
    <row r="362" spans="2:3" x14ac:dyDescent="0.25">
      <c r="B362" t="s">
        <v>4504</v>
      </c>
      <c r="C362" t="s">
        <v>4505</v>
      </c>
    </row>
    <row r="363" spans="2:3" ht="15.75" x14ac:dyDescent="0.25">
      <c r="B363" s="309" t="s">
        <v>195</v>
      </c>
      <c r="C363" s="309" t="s">
        <v>123</v>
      </c>
    </row>
    <row r="364" spans="2:3" ht="15.75" x14ac:dyDescent="0.25">
      <c r="B364" s="644" t="s">
        <v>344</v>
      </c>
      <c r="C364" s="644" t="s">
        <v>4756</v>
      </c>
    </row>
    <row r="365" spans="2:3" ht="15.75" x14ac:dyDescent="0.25">
      <c r="B365" s="309" t="s">
        <v>4702</v>
      </c>
      <c r="C365" s="309" t="s">
        <v>4757</v>
      </c>
    </row>
    <row r="366" spans="2:3" ht="15.75" x14ac:dyDescent="0.25">
      <c r="B366" s="644" t="s">
        <v>4703</v>
      </c>
      <c r="C366" s="644" t="s">
        <v>4758</v>
      </c>
    </row>
    <row r="367" spans="2:3" ht="15.75" x14ac:dyDescent="0.25">
      <c r="B367" s="309" t="s">
        <v>198</v>
      </c>
      <c r="C367" s="309" t="s">
        <v>4759</v>
      </c>
    </row>
    <row r="368" spans="2:3" ht="15.75" x14ac:dyDescent="0.25">
      <c r="B368" s="644" t="s">
        <v>1</v>
      </c>
      <c r="C368" t="s">
        <v>1</v>
      </c>
    </row>
    <row r="369" spans="2:3" ht="15.75" x14ac:dyDescent="0.25">
      <c r="B369" s="644" t="s">
        <v>4656</v>
      </c>
      <c r="C369" t="s">
        <v>4815</v>
      </c>
    </row>
    <row r="370" spans="2:3" ht="15.75" x14ac:dyDescent="0.25">
      <c r="B370" s="644" t="s">
        <v>4704</v>
      </c>
      <c r="C370" t="s">
        <v>4857</v>
      </c>
    </row>
    <row r="371" spans="2:3" ht="15.75" x14ac:dyDescent="0.25">
      <c r="B371" s="644" t="s">
        <v>4705</v>
      </c>
      <c r="C371" t="s">
        <v>4858</v>
      </c>
    </row>
    <row r="372" spans="2:3" ht="15.75" x14ac:dyDescent="0.25">
      <c r="B372" s="644" t="s">
        <v>4706</v>
      </c>
      <c r="C372" t="s">
        <v>4816</v>
      </c>
    </row>
    <row r="373" spans="2:3" ht="15.75" x14ac:dyDescent="0.25">
      <c r="B373" s="644" t="s">
        <v>4707</v>
      </c>
      <c r="C373" t="s">
        <v>4859</v>
      </c>
    </row>
    <row r="374" spans="2:3" ht="15.75" x14ac:dyDescent="0.25">
      <c r="B374" s="644" t="s">
        <v>4708</v>
      </c>
      <c r="C374" t="s">
        <v>4860</v>
      </c>
    </row>
    <row r="375" spans="2:3" ht="15.75" x14ac:dyDescent="0.25">
      <c r="B375" s="644" t="s">
        <v>199</v>
      </c>
      <c r="C375" s="644" t="s">
        <v>4963</v>
      </c>
    </row>
    <row r="376" spans="2:3" ht="15.75" x14ac:dyDescent="0.25">
      <c r="B376" s="644" t="s">
        <v>200</v>
      </c>
      <c r="C376" s="644" t="s">
        <v>4861</v>
      </c>
    </row>
    <row r="377" spans="2:3" ht="15.75" x14ac:dyDescent="0.25">
      <c r="B377" s="309" t="s">
        <v>347</v>
      </c>
      <c r="C377" s="309" t="s">
        <v>4964</v>
      </c>
    </row>
    <row r="378" spans="2:3" ht="15.75" x14ac:dyDescent="0.25">
      <c r="B378" s="309" t="s">
        <v>205</v>
      </c>
      <c r="C378" s="309" t="s">
        <v>4965</v>
      </c>
    </row>
    <row r="379" spans="2:3" ht="15.75" x14ac:dyDescent="0.25">
      <c r="B379" s="644" t="s">
        <v>29</v>
      </c>
      <c r="C379" s="644" t="s">
        <v>29</v>
      </c>
    </row>
    <row r="380" spans="2:3" ht="15.75" x14ac:dyDescent="0.25">
      <c r="B380" s="644" t="s">
        <v>4658</v>
      </c>
      <c r="C380" s="644" t="s">
        <v>4658</v>
      </c>
    </row>
    <row r="381" spans="2:3" ht="15.75" x14ac:dyDescent="0.25">
      <c r="B381" s="644" t="s">
        <v>4509</v>
      </c>
      <c r="C381" s="644" t="s">
        <v>4864</v>
      </c>
    </row>
    <row r="382" spans="2:3" ht="15.75" x14ac:dyDescent="0.25">
      <c r="B382" s="644" t="s">
        <v>4510</v>
      </c>
      <c r="C382" s="644" t="s">
        <v>4865</v>
      </c>
    </row>
    <row r="383" spans="2:3" ht="15.75" x14ac:dyDescent="0.25">
      <c r="B383" s="644" t="s">
        <v>206</v>
      </c>
      <c r="C383" s="644" t="s">
        <v>5085</v>
      </c>
    </row>
    <row r="384" spans="2:3" ht="15.75" x14ac:dyDescent="0.25">
      <c r="B384" s="644" t="s">
        <v>4659</v>
      </c>
      <c r="C384" s="644" t="s">
        <v>4866</v>
      </c>
    </row>
    <row r="385" spans="2:3" ht="15.75" x14ac:dyDescent="0.25">
      <c r="B385" s="644" t="s">
        <v>4660</v>
      </c>
      <c r="C385" s="644" t="s">
        <v>5084</v>
      </c>
    </row>
    <row r="386" spans="2:3" ht="15.75" x14ac:dyDescent="0.25">
      <c r="B386" s="309" t="s">
        <v>209</v>
      </c>
      <c r="C386" s="309" t="s">
        <v>4968</v>
      </c>
    </row>
    <row r="387" spans="2:3" ht="15.75" x14ac:dyDescent="0.25">
      <c r="B387" s="644" t="s">
        <v>13</v>
      </c>
      <c r="C387" s="644" t="s">
        <v>13</v>
      </c>
    </row>
    <row r="388" spans="2:3" ht="15.75" x14ac:dyDescent="0.25">
      <c r="B388" s="644" t="s">
        <v>4689</v>
      </c>
      <c r="C388" s="644" t="s">
        <v>4689</v>
      </c>
    </row>
    <row r="389" spans="2:3" ht="15.75" x14ac:dyDescent="0.25">
      <c r="B389" s="644" t="s">
        <v>14</v>
      </c>
      <c r="C389" s="644" t="s">
        <v>14</v>
      </c>
    </row>
    <row r="390" spans="2:3" ht="15.75" x14ac:dyDescent="0.25">
      <c r="B390" s="309" t="s">
        <v>210</v>
      </c>
      <c r="C390" s="309" t="s">
        <v>4709</v>
      </c>
    </row>
    <row r="391" spans="2:3" ht="15.75" x14ac:dyDescent="0.25">
      <c r="B391" s="644" t="s">
        <v>4731</v>
      </c>
      <c r="C391" s="644" t="s">
        <v>4969</v>
      </c>
    </row>
    <row r="392" spans="2:3" ht="15.75" x14ac:dyDescent="0.25">
      <c r="B392" s="644" t="s">
        <v>211</v>
      </c>
      <c r="C392" s="644" t="s">
        <v>4524</v>
      </c>
    </row>
    <row r="393" spans="2:3" ht="15.75" x14ac:dyDescent="0.25">
      <c r="B393" s="644" t="s">
        <v>213</v>
      </c>
      <c r="C393" s="644" t="s">
        <v>4873</v>
      </c>
    </row>
    <row r="394" spans="2:3" ht="15.75" x14ac:dyDescent="0.25">
      <c r="B394" s="644" t="s">
        <v>4732</v>
      </c>
      <c r="C394" s="644" t="s">
        <v>4970</v>
      </c>
    </row>
    <row r="395" spans="2:3" ht="15.75" x14ac:dyDescent="0.25">
      <c r="B395" s="644" t="s">
        <v>4664</v>
      </c>
      <c r="C395" s="644" t="s">
        <v>4871</v>
      </c>
    </row>
    <row r="396" spans="2:3" ht="15.75" x14ac:dyDescent="0.25">
      <c r="B396" s="644" t="s">
        <v>4710</v>
      </c>
      <c r="C396" s="644" t="s">
        <v>4971</v>
      </c>
    </row>
    <row r="397" spans="2:3" ht="15.75" x14ac:dyDescent="0.25">
      <c r="B397" s="309" t="s">
        <v>214</v>
      </c>
      <c r="C397" s="309" t="s">
        <v>4972</v>
      </c>
    </row>
    <row r="398" spans="2:3" ht="15.75" x14ac:dyDescent="0.25">
      <c r="B398" s="644" t="s">
        <v>4711</v>
      </c>
      <c r="C398" s="644" t="s">
        <v>4711</v>
      </c>
    </row>
    <row r="399" spans="2:3" ht="15.75" x14ac:dyDescent="0.25">
      <c r="B399" s="644" t="s">
        <v>4712</v>
      </c>
      <c r="C399" s="644" t="s">
        <v>4973</v>
      </c>
    </row>
    <row r="400" spans="2:3" ht="15.75" x14ac:dyDescent="0.25">
      <c r="B400" s="644" t="s">
        <v>4713</v>
      </c>
      <c r="C400" s="644" t="s">
        <v>4974</v>
      </c>
    </row>
    <row r="401" spans="2:3" ht="15.75" x14ac:dyDescent="0.25">
      <c r="B401" s="644" t="s">
        <v>4714</v>
      </c>
      <c r="C401" s="644" t="s">
        <v>4975</v>
      </c>
    </row>
    <row r="402" spans="2:3" ht="15.75" x14ac:dyDescent="0.25">
      <c r="B402" s="644" t="s">
        <v>4715</v>
      </c>
      <c r="C402" s="644" t="s">
        <v>4976</v>
      </c>
    </row>
    <row r="403" spans="2:3" ht="15.75" x14ac:dyDescent="0.25">
      <c r="B403" s="309" t="s">
        <v>378</v>
      </c>
      <c r="C403" s="309" t="s">
        <v>378</v>
      </c>
    </row>
    <row r="404" spans="2:3" ht="15.75" x14ac:dyDescent="0.25">
      <c r="B404" s="644" t="s">
        <v>4672</v>
      </c>
      <c r="C404" s="644" t="s">
        <v>4672</v>
      </c>
    </row>
    <row r="405" spans="2:3" ht="15.75" x14ac:dyDescent="0.25">
      <c r="B405" s="644" t="s">
        <v>44</v>
      </c>
      <c r="C405" s="644" t="s">
        <v>44</v>
      </c>
    </row>
    <row r="406" spans="2:3" ht="15.75" x14ac:dyDescent="0.25">
      <c r="B406" s="644" t="s">
        <v>221</v>
      </c>
      <c r="C406" s="644" t="s">
        <v>4882</v>
      </c>
    </row>
    <row r="407" spans="2:3" ht="15.75" x14ac:dyDescent="0.25">
      <c r="B407" s="644" t="s">
        <v>222</v>
      </c>
      <c r="C407" s="644" t="s">
        <v>4883</v>
      </c>
    </row>
    <row r="408" spans="2:3" ht="15.75" x14ac:dyDescent="0.25">
      <c r="B408" s="644" t="s">
        <v>223</v>
      </c>
      <c r="C408" s="644" t="s">
        <v>4977</v>
      </c>
    </row>
    <row r="409" spans="2:3" ht="15.75" x14ac:dyDescent="0.25">
      <c r="B409" s="644" t="s">
        <v>224</v>
      </c>
      <c r="C409" s="644" t="s">
        <v>4978</v>
      </c>
    </row>
    <row r="410" spans="2:3" ht="16.5" customHeight="1" x14ac:dyDescent="0.25">
      <c r="B410" s="644" t="s">
        <v>220</v>
      </c>
      <c r="C410" s="644" t="s">
        <v>4979</v>
      </c>
    </row>
    <row r="411" spans="2:3" ht="16.5" customHeight="1" x14ac:dyDescent="0.25">
      <c r="B411" s="644" t="s">
        <v>4716</v>
      </c>
      <c r="C411" s="644" t="s">
        <v>4887</v>
      </c>
    </row>
    <row r="412" spans="2:3" ht="16.5" customHeight="1" x14ac:dyDescent="0.25">
      <c r="B412" s="644" t="s">
        <v>226</v>
      </c>
      <c r="C412" s="644" t="s">
        <v>4980</v>
      </c>
    </row>
    <row r="413" spans="2:3" ht="16.5" customHeight="1" x14ac:dyDescent="0.25">
      <c r="B413" s="644" t="s">
        <v>216</v>
      </c>
      <c r="C413" s="644" t="s">
        <v>4878</v>
      </c>
    </row>
    <row r="414" spans="2:3" ht="15.75" x14ac:dyDescent="0.25">
      <c r="B414" s="644" t="s">
        <v>217</v>
      </c>
      <c r="C414" s="644" t="s">
        <v>4879</v>
      </c>
    </row>
    <row r="415" spans="2:3" ht="15.75" x14ac:dyDescent="0.25">
      <c r="B415" s="644" t="s">
        <v>349</v>
      </c>
      <c r="C415" s="644" t="s">
        <v>4981</v>
      </c>
    </row>
    <row r="416" spans="2:3" x14ac:dyDescent="0.25">
      <c r="B416" t="s">
        <v>219</v>
      </c>
      <c r="C416" t="s">
        <v>4881</v>
      </c>
    </row>
    <row r="417" spans="2:3" ht="15.75" x14ac:dyDescent="0.25">
      <c r="B417" s="309" t="s">
        <v>225</v>
      </c>
      <c r="C417" s="309" t="s">
        <v>4982</v>
      </c>
    </row>
    <row r="418" spans="2:3" x14ac:dyDescent="0.25">
      <c r="B418" t="s">
        <v>211</v>
      </c>
      <c r="C418" t="s">
        <v>4524</v>
      </c>
    </row>
    <row r="419" spans="2:3" x14ac:dyDescent="0.25">
      <c r="B419" t="s">
        <v>4717</v>
      </c>
      <c r="C419" t="s">
        <v>4717</v>
      </c>
    </row>
    <row r="420" spans="2:3" x14ac:dyDescent="0.25">
      <c r="B420" t="s">
        <v>4526</v>
      </c>
      <c r="C420" t="s">
        <v>4526</v>
      </c>
    </row>
    <row r="421" spans="2:3" x14ac:dyDescent="0.25">
      <c r="B421" t="s">
        <v>4718</v>
      </c>
      <c r="C421" t="s">
        <v>4983</v>
      </c>
    </row>
    <row r="422" spans="2:3" x14ac:dyDescent="0.25">
      <c r="B422" t="s">
        <v>350</v>
      </c>
      <c r="C422" t="s">
        <v>4891</v>
      </c>
    </row>
    <row r="423" spans="2:3" x14ac:dyDescent="0.25">
      <c r="B423" t="s">
        <v>31</v>
      </c>
      <c r="C423" t="s">
        <v>4892</v>
      </c>
    </row>
    <row r="424" spans="2:3" ht="15.75" x14ac:dyDescent="0.25">
      <c r="B424" s="485" t="s">
        <v>227</v>
      </c>
      <c r="C424" s="485" t="s">
        <v>85</v>
      </c>
    </row>
    <row r="425" spans="2:3" x14ac:dyDescent="0.25">
      <c r="B425" t="s">
        <v>228</v>
      </c>
      <c r="C425" t="s">
        <v>4984</v>
      </c>
    </row>
    <row r="426" spans="2:3" x14ac:dyDescent="0.25">
      <c r="B426" t="s">
        <v>230</v>
      </c>
      <c r="C426" t="s">
        <v>5084</v>
      </c>
    </row>
    <row r="427" spans="2:3" x14ac:dyDescent="0.25">
      <c r="B427" t="s">
        <v>232</v>
      </c>
      <c r="C427" t="s">
        <v>4895</v>
      </c>
    </row>
    <row r="428" spans="2:3" x14ac:dyDescent="0.25">
      <c r="B428" t="s">
        <v>229</v>
      </c>
      <c r="C428" t="s">
        <v>4985</v>
      </c>
    </row>
    <row r="429" spans="2:3" x14ac:dyDescent="0.25">
      <c r="B429" t="s">
        <v>32</v>
      </c>
      <c r="C429" t="s">
        <v>32</v>
      </c>
    </row>
    <row r="430" spans="2:3" x14ac:dyDescent="0.25">
      <c r="B430" t="s">
        <v>231</v>
      </c>
      <c r="C430" t="s">
        <v>4986</v>
      </c>
    </row>
    <row r="431" spans="2:3" x14ac:dyDescent="0.25">
      <c r="B431" t="s">
        <v>233</v>
      </c>
      <c r="C431" t="s">
        <v>4896</v>
      </c>
    </row>
    <row r="432" spans="2:3" x14ac:dyDescent="0.25">
      <c r="B432" t="s">
        <v>235</v>
      </c>
      <c r="C432" t="s">
        <v>4987</v>
      </c>
    </row>
    <row r="433" spans="2:3" x14ac:dyDescent="0.25">
      <c r="B433" t="s">
        <v>234</v>
      </c>
      <c r="C433" t="s">
        <v>4898</v>
      </c>
    </row>
    <row r="434" spans="2:3" x14ac:dyDescent="0.25">
      <c r="B434" t="s">
        <v>351</v>
      </c>
      <c r="C434" t="s">
        <v>4988</v>
      </c>
    </row>
    <row r="435" spans="2:3" x14ac:dyDescent="0.25">
      <c r="B435" t="s">
        <v>239</v>
      </c>
      <c r="C435" t="s">
        <v>4989</v>
      </c>
    </row>
    <row r="436" spans="2:3" x14ac:dyDescent="0.25">
      <c r="B436" t="s">
        <v>4719</v>
      </c>
      <c r="C436" t="s">
        <v>4990</v>
      </c>
    </row>
    <row r="437" spans="2:3" x14ac:dyDescent="0.25">
      <c r="B437" t="s">
        <v>240</v>
      </c>
      <c r="C437" t="s">
        <v>4991</v>
      </c>
    </row>
    <row r="438" spans="2:3" x14ac:dyDescent="0.25">
      <c r="B438" t="s">
        <v>352</v>
      </c>
      <c r="C438" t="s">
        <v>4992</v>
      </c>
    </row>
    <row r="439" spans="2:3" x14ac:dyDescent="0.25">
      <c r="B439" t="s">
        <v>241</v>
      </c>
      <c r="C439" t="s">
        <v>4993</v>
      </c>
    </row>
    <row r="440" spans="2:3" x14ac:dyDescent="0.25">
      <c r="B440" t="s">
        <v>238</v>
      </c>
      <c r="C440" t="s">
        <v>4994</v>
      </c>
    </row>
    <row r="441" spans="2:3" x14ac:dyDescent="0.25">
      <c r="B441" t="s">
        <v>242</v>
      </c>
      <c r="C441" t="s">
        <v>4907</v>
      </c>
    </row>
    <row r="442" spans="2:3" x14ac:dyDescent="0.25">
      <c r="B442" t="s">
        <v>243</v>
      </c>
      <c r="C442" t="s">
        <v>4909</v>
      </c>
    </row>
    <row r="443" spans="2:3" x14ac:dyDescent="0.25">
      <c r="B443" t="s">
        <v>4720</v>
      </c>
      <c r="C443" t="s">
        <v>4995</v>
      </c>
    </row>
    <row r="444" spans="2:3" x14ac:dyDescent="0.25">
      <c r="B444" t="s">
        <v>244</v>
      </c>
      <c r="C444" t="s">
        <v>4996</v>
      </c>
    </row>
    <row r="445" spans="2:3" x14ac:dyDescent="0.25">
      <c r="B445" t="s">
        <v>245</v>
      </c>
      <c r="C445" t="s">
        <v>4943</v>
      </c>
    </row>
    <row r="446" spans="2:3" x14ac:dyDescent="0.25">
      <c r="B446" t="s">
        <v>4676</v>
      </c>
      <c r="C446" t="s">
        <v>4997</v>
      </c>
    </row>
    <row r="447" spans="2:3" x14ac:dyDescent="0.25">
      <c r="B447" t="s">
        <v>4677</v>
      </c>
      <c r="C447" t="s">
        <v>4915</v>
      </c>
    </row>
    <row r="448" spans="2:3" x14ac:dyDescent="0.25">
      <c r="B448" t="s">
        <v>246</v>
      </c>
      <c r="C448" t="s">
        <v>57</v>
      </c>
    </row>
    <row r="449" spans="2:3" x14ac:dyDescent="0.25">
      <c r="B449" t="s">
        <v>4721</v>
      </c>
      <c r="C449" t="s">
        <v>4998</v>
      </c>
    </row>
    <row r="450" spans="2:3" x14ac:dyDescent="0.25">
      <c r="B450" t="s">
        <v>4722</v>
      </c>
      <c r="C450" t="s">
        <v>4999</v>
      </c>
    </row>
    <row r="451" spans="2:3" x14ac:dyDescent="0.25">
      <c r="B451" t="s">
        <v>249</v>
      </c>
      <c r="C451" t="s">
        <v>4908</v>
      </c>
    </row>
    <row r="452" spans="2:3" x14ac:dyDescent="0.25">
      <c r="B452" t="s">
        <v>4723</v>
      </c>
      <c r="C452" t="s">
        <v>4723</v>
      </c>
    </row>
    <row r="453" spans="2:3" x14ac:dyDescent="0.25">
      <c r="B453" t="s">
        <v>33</v>
      </c>
      <c r="C453" t="s">
        <v>4538</v>
      </c>
    </row>
    <row r="454" spans="2:3" x14ac:dyDescent="0.25">
      <c r="B454" t="s">
        <v>252</v>
      </c>
      <c r="C454" t="s">
        <v>4918</v>
      </c>
    </row>
    <row r="455" spans="2:3" x14ac:dyDescent="0.25">
      <c r="B455" t="s">
        <v>253</v>
      </c>
      <c r="C455" t="s">
        <v>5000</v>
      </c>
    </row>
    <row r="456" spans="2:3" x14ac:dyDescent="0.25">
      <c r="B456" t="s">
        <v>4724</v>
      </c>
      <c r="C456" t="s">
        <v>5001</v>
      </c>
    </row>
    <row r="457" spans="2:3" x14ac:dyDescent="0.25">
      <c r="B457" t="s">
        <v>98</v>
      </c>
      <c r="C457" t="s">
        <v>98</v>
      </c>
    </row>
    <row r="458" spans="2:3" x14ac:dyDescent="0.25">
      <c r="B458" t="s">
        <v>330</v>
      </c>
      <c r="C458" t="s">
        <v>5002</v>
      </c>
    </row>
    <row r="459" spans="2:3" x14ac:dyDescent="0.25">
      <c r="B459" t="s">
        <v>4725</v>
      </c>
      <c r="C459" t="s">
        <v>5003</v>
      </c>
    </row>
    <row r="460" spans="2:3" x14ac:dyDescent="0.25">
      <c r="B460" t="s">
        <v>107</v>
      </c>
      <c r="C460" t="s">
        <v>107</v>
      </c>
    </row>
    <row r="461" spans="2:3" x14ac:dyDescent="0.25">
      <c r="B461" t="s">
        <v>108</v>
      </c>
      <c r="C461" t="s">
        <v>108</v>
      </c>
    </row>
    <row r="462" spans="2:3" x14ac:dyDescent="0.25">
      <c r="B462" t="s">
        <v>109</v>
      </c>
      <c r="C462" t="s">
        <v>109</v>
      </c>
    </row>
    <row r="463" spans="2:3" x14ac:dyDescent="0.25">
      <c r="B463" t="s">
        <v>110</v>
      </c>
      <c r="C463" t="s">
        <v>110</v>
      </c>
    </row>
    <row r="464" spans="2:3" ht="15.75" x14ac:dyDescent="0.25">
      <c r="B464" s="485" t="s">
        <v>353</v>
      </c>
      <c r="C464" s="485" t="s">
        <v>4634</v>
      </c>
    </row>
    <row r="465" spans="2:3" x14ac:dyDescent="0.25">
      <c r="B465" t="s">
        <v>255</v>
      </c>
      <c r="C465" t="s">
        <v>4539</v>
      </c>
    </row>
    <row r="466" spans="2:3" x14ac:dyDescent="0.25">
      <c r="B466" t="s">
        <v>354</v>
      </c>
      <c r="C466" t="s">
        <v>5004</v>
      </c>
    </row>
    <row r="467" spans="2:3" x14ac:dyDescent="0.25">
      <c r="B467" t="s">
        <v>19</v>
      </c>
      <c r="C467" t="s">
        <v>19</v>
      </c>
    </row>
    <row r="468" spans="2:3" x14ac:dyDescent="0.25">
      <c r="B468" t="s">
        <v>256</v>
      </c>
      <c r="C468" t="s">
        <v>99</v>
      </c>
    </row>
    <row r="469" spans="2:3" x14ac:dyDescent="0.25">
      <c r="B469" t="s">
        <v>258</v>
      </c>
      <c r="C469" t="s">
        <v>4920</v>
      </c>
    </row>
    <row r="470" spans="2:3" x14ac:dyDescent="0.25">
      <c r="B470" t="s">
        <v>355</v>
      </c>
      <c r="C470" t="s">
        <v>5005</v>
      </c>
    </row>
    <row r="471" spans="2:3" x14ac:dyDescent="0.25">
      <c r="B471" t="s">
        <v>259</v>
      </c>
      <c r="C471" t="s">
        <v>4921</v>
      </c>
    </row>
    <row r="472" spans="2:3" x14ac:dyDescent="0.25">
      <c r="B472" t="s">
        <v>4726</v>
      </c>
      <c r="C472" t="s">
        <v>5006</v>
      </c>
    </row>
    <row r="473" spans="2:3" x14ac:dyDescent="0.25">
      <c r="B473" t="s">
        <v>260</v>
      </c>
      <c r="C473" t="s">
        <v>5007</v>
      </c>
    </row>
    <row r="474" spans="2:3" x14ac:dyDescent="0.25">
      <c r="B474" t="s">
        <v>261</v>
      </c>
      <c r="C474" t="s">
        <v>4551</v>
      </c>
    </row>
    <row r="475" spans="2:3" x14ac:dyDescent="0.25">
      <c r="B475" t="s">
        <v>4727</v>
      </c>
      <c r="C475" t="s">
        <v>5008</v>
      </c>
    </row>
    <row r="476" spans="2:3" x14ac:dyDescent="0.25">
      <c r="B476" t="s">
        <v>262</v>
      </c>
      <c r="C476" t="s">
        <v>4924</v>
      </c>
    </row>
    <row r="477" spans="2:3" x14ac:dyDescent="0.25">
      <c r="B477" t="s">
        <v>4635</v>
      </c>
      <c r="C477" t="s">
        <v>4635</v>
      </c>
    </row>
    <row r="478" spans="2:3" x14ac:dyDescent="0.25">
      <c r="B478" t="s">
        <v>180</v>
      </c>
      <c r="C478" t="s">
        <v>4541</v>
      </c>
    </row>
    <row r="479" spans="2:3" x14ac:dyDescent="0.25">
      <c r="B479" t="s">
        <v>263</v>
      </c>
      <c r="C479" t="s">
        <v>5009</v>
      </c>
    </row>
    <row r="480" spans="2:3" x14ac:dyDescent="0.25">
      <c r="B480" t="s">
        <v>126</v>
      </c>
      <c r="C480" t="s">
        <v>164</v>
      </c>
    </row>
    <row r="481" spans="2:3" x14ac:dyDescent="0.25">
      <c r="B481" t="s">
        <v>356</v>
      </c>
      <c r="C481" t="s">
        <v>5010</v>
      </c>
    </row>
    <row r="482" spans="2:3" x14ac:dyDescent="0.25">
      <c r="B482" t="s">
        <v>4636</v>
      </c>
      <c r="C482" t="s">
        <v>5011</v>
      </c>
    </row>
    <row r="483" spans="2:3" x14ac:dyDescent="0.25">
      <c r="B483" t="s">
        <v>357</v>
      </c>
      <c r="C483" t="s">
        <v>4804</v>
      </c>
    </row>
    <row r="484" spans="2:3" x14ac:dyDescent="0.25">
      <c r="B484" t="s">
        <v>358</v>
      </c>
      <c r="C484" t="s">
        <v>5012</v>
      </c>
    </row>
    <row r="485" spans="2:3" x14ac:dyDescent="0.25">
      <c r="B485" t="s">
        <v>359</v>
      </c>
      <c r="C485" t="s">
        <v>5013</v>
      </c>
    </row>
    <row r="486" spans="2:3" x14ac:dyDescent="0.25">
      <c r="B486" t="s">
        <v>360</v>
      </c>
      <c r="C486" t="s">
        <v>5014</v>
      </c>
    </row>
    <row r="487" spans="2:3" x14ac:dyDescent="0.25">
      <c r="B487" t="s">
        <v>363</v>
      </c>
      <c r="C487" t="s">
        <v>5015</v>
      </c>
    </row>
    <row r="488" spans="2:3" x14ac:dyDescent="0.25">
      <c r="B488" t="s">
        <v>283</v>
      </c>
      <c r="C488" t="s">
        <v>4952</v>
      </c>
    </row>
    <row r="489" spans="2:3" x14ac:dyDescent="0.25">
      <c r="B489" t="s">
        <v>361</v>
      </c>
      <c r="C489" t="s">
        <v>5016</v>
      </c>
    </row>
    <row r="490" spans="2:3" x14ac:dyDescent="0.25">
      <c r="B490" t="s">
        <v>362</v>
      </c>
      <c r="C490" t="s">
        <v>5017</v>
      </c>
    </row>
    <row r="491" spans="2:3" x14ac:dyDescent="0.25">
      <c r="B491" t="s">
        <v>264</v>
      </c>
      <c r="C491" t="s">
        <v>4933</v>
      </c>
    </row>
    <row r="492" spans="2:3" x14ac:dyDescent="0.25">
      <c r="B492" t="s">
        <v>265</v>
      </c>
      <c r="C492" t="s">
        <v>4934</v>
      </c>
    </row>
    <row r="493" spans="2:3" x14ac:dyDescent="0.25">
      <c r="B493" t="s">
        <v>266</v>
      </c>
      <c r="C493" t="s">
        <v>4935</v>
      </c>
    </row>
    <row r="494" spans="2:3" x14ac:dyDescent="0.25">
      <c r="B494" t="s">
        <v>267</v>
      </c>
      <c r="C494" t="s">
        <v>5018</v>
      </c>
    </row>
    <row r="495" spans="2:3" x14ac:dyDescent="0.25">
      <c r="B495" t="s">
        <v>268</v>
      </c>
      <c r="C495" t="s">
        <v>4937</v>
      </c>
    </row>
    <row r="496" spans="2:3" x14ac:dyDescent="0.25">
      <c r="B496" t="s">
        <v>227</v>
      </c>
      <c r="C496" t="s">
        <v>5019</v>
      </c>
    </row>
    <row r="497" spans="2:3" x14ac:dyDescent="0.25">
      <c r="B497" t="s">
        <v>269</v>
      </c>
      <c r="C497" t="s">
        <v>5020</v>
      </c>
    </row>
    <row r="498" spans="2:3" x14ac:dyDescent="0.25">
      <c r="B498" t="s">
        <v>270</v>
      </c>
      <c r="C498" t="s">
        <v>5021</v>
      </c>
    </row>
    <row r="499" spans="2:3" x14ac:dyDescent="0.25">
      <c r="B499" t="s">
        <v>271</v>
      </c>
      <c r="C499" t="s">
        <v>4940</v>
      </c>
    </row>
    <row r="500" spans="2:3" x14ac:dyDescent="0.25">
      <c r="B500" t="s">
        <v>272</v>
      </c>
      <c r="C500" t="s">
        <v>4941</v>
      </c>
    </row>
    <row r="501" spans="2:3" x14ac:dyDescent="0.25">
      <c r="B501" t="s">
        <v>273</v>
      </c>
      <c r="C501" t="s">
        <v>4942</v>
      </c>
    </row>
    <row r="502" spans="2:3" x14ac:dyDescent="0.25">
      <c r="B502" t="s">
        <v>274</v>
      </c>
      <c r="C502" t="s">
        <v>4943</v>
      </c>
    </row>
    <row r="503" spans="2:3" x14ac:dyDescent="0.25">
      <c r="B503" t="s">
        <v>364</v>
      </c>
      <c r="C503" t="s">
        <v>5022</v>
      </c>
    </row>
    <row r="504" spans="2:3" x14ac:dyDescent="0.25">
      <c r="B504" t="s">
        <v>365</v>
      </c>
      <c r="C504" t="s">
        <v>4945</v>
      </c>
    </row>
    <row r="505" spans="2:3" x14ac:dyDescent="0.25">
      <c r="B505" t="s">
        <v>366</v>
      </c>
      <c r="C505" t="s">
        <v>4946</v>
      </c>
    </row>
    <row r="506" spans="2:3" x14ac:dyDescent="0.25">
      <c r="B506" t="s">
        <v>278</v>
      </c>
      <c r="C506" t="s">
        <v>5023</v>
      </c>
    </row>
    <row r="507" spans="2:3" x14ac:dyDescent="0.25">
      <c r="B507" t="s">
        <v>18</v>
      </c>
      <c r="C507" t="s">
        <v>18</v>
      </c>
    </row>
    <row r="508" spans="2:3" x14ac:dyDescent="0.25">
      <c r="B508" t="s">
        <v>279</v>
      </c>
      <c r="C508" t="s">
        <v>4948</v>
      </c>
    </row>
    <row r="509" spans="2:3" x14ac:dyDescent="0.25">
      <c r="B509" t="s">
        <v>131</v>
      </c>
      <c r="C509" t="s">
        <v>131</v>
      </c>
    </row>
    <row r="510" spans="2:3" x14ac:dyDescent="0.25">
      <c r="B510" t="s">
        <v>245</v>
      </c>
      <c r="C510" t="s">
        <v>5024</v>
      </c>
    </row>
    <row r="511" spans="2:3" x14ac:dyDescent="0.25">
      <c r="B511" t="s">
        <v>280</v>
      </c>
      <c r="C511" t="s">
        <v>4949</v>
      </c>
    </row>
    <row r="512" spans="2:3" x14ac:dyDescent="0.25">
      <c r="B512" t="s">
        <v>4728</v>
      </c>
      <c r="C512" t="s">
        <v>5025</v>
      </c>
    </row>
    <row r="513" spans="1:3" x14ac:dyDescent="0.25">
      <c r="B513" t="s">
        <v>282</v>
      </c>
      <c r="C513" t="s">
        <v>4951</v>
      </c>
    </row>
    <row r="514" spans="1:3" x14ac:dyDescent="0.25">
      <c r="B514" t="s">
        <v>283</v>
      </c>
      <c r="C514" t="s">
        <v>4952</v>
      </c>
    </row>
    <row r="515" spans="1:3" x14ac:dyDescent="0.25">
      <c r="B515" t="s">
        <v>284</v>
      </c>
      <c r="C515" t="s">
        <v>4953</v>
      </c>
    </row>
    <row r="516" spans="1:3" x14ac:dyDescent="0.25">
      <c r="B516" t="s">
        <v>285</v>
      </c>
      <c r="C516" t="s">
        <v>4954</v>
      </c>
    </row>
    <row r="517" spans="1:3" x14ac:dyDescent="0.25">
      <c r="B517" t="s">
        <v>367</v>
      </c>
      <c r="C517" t="s">
        <v>4551</v>
      </c>
    </row>
    <row r="518" spans="1:3" x14ac:dyDescent="0.25">
      <c r="A518" s="678" t="s">
        <v>4737</v>
      </c>
      <c r="B518" s="303"/>
      <c r="C518" s="303"/>
    </row>
    <row r="519" spans="1:3" ht="15.75" x14ac:dyDescent="0.25">
      <c r="B519" s="553" t="s">
        <v>70</v>
      </c>
      <c r="C519" s="553" t="s">
        <v>70</v>
      </c>
    </row>
    <row r="520" spans="1:3" x14ac:dyDescent="0.25">
      <c r="B520" s="85" t="s">
        <v>4695</v>
      </c>
      <c r="C520" s="85" t="s">
        <v>4695</v>
      </c>
    </row>
    <row r="521" spans="1:3" x14ac:dyDescent="0.25">
      <c r="B521" s="85" t="s">
        <v>4696</v>
      </c>
      <c r="C521" s="85" t="s">
        <v>4696</v>
      </c>
    </row>
    <row r="522" spans="1:3" x14ac:dyDescent="0.25">
      <c r="B522" s="85" t="s">
        <v>4697</v>
      </c>
      <c r="C522" s="85" t="s">
        <v>4750</v>
      </c>
    </row>
    <row r="523" spans="1:3" x14ac:dyDescent="0.25">
      <c r="B523" s="85" t="s">
        <v>4698</v>
      </c>
      <c r="C523" s="85" t="s">
        <v>4751</v>
      </c>
    </row>
    <row r="524" spans="1:3" ht="15.75" x14ac:dyDescent="0.25">
      <c r="B524" s="553" t="s">
        <v>71</v>
      </c>
      <c r="C524" s="553" t="s">
        <v>71</v>
      </c>
    </row>
    <row r="525" spans="1:3" x14ac:dyDescent="0.25">
      <c r="B525" t="s">
        <v>4700</v>
      </c>
      <c r="C525" t="s">
        <v>4754</v>
      </c>
    </row>
    <row r="526" spans="1:3" x14ac:dyDescent="0.25">
      <c r="B526" t="s">
        <v>4701</v>
      </c>
      <c r="C526" t="s">
        <v>4755</v>
      </c>
    </row>
    <row r="527" spans="1:3" x14ac:dyDescent="0.25">
      <c r="B527" t="s">
        <v>4500</v>
      </c>
      <c r="C527" t="s">
        <v>4501</v>
      </c>
    </row>
    <row r="528" spans="1:3" ht="15.75" x14ac:dyDescent="0.25">
      <c r="B528" s="553" t="s">
        <v>113</v>
      </c>
      <c r="C528" s="553" t="s">
        <v>113</v>
      </c>
    </row>
    <row r="529" spans="2:3" x14ac:dyDescent="0.25">
      <c r="B529" s="14">
        <v>33</v>
      </c>
      <c r="C529" s="14">
        <v>33</v>
      </c>
    </row>
    <row r="530" spans="2:3" x14ac:dyDescent="0.25">
      <c r="B530" s="14">
        <v>36</v>
      </c>
      <c r="C530" s="14">
        <v>36</v>
      </c>
    </row>
    <row r="531" spans="2:3" x14ac:dyDescent="0.25">
      <c r="B531" s="14">
        <v>39</v>
      </c>
      <c r="C531" s="14">
        <v>39</v>
      </c>
    </row>
    <row r="532" spans="2:3" x14ac:dyDescent="0.25">
      <c r="B532" s="14">
        <v>42</v>
      </c>
      <c r="C532" s="14">
        <v>42</v>
      </c>
    </row>
    <row r="533" spans="2:3" x14ac:dyDescent="0.25">
      <c r="B533" s="14">
        <v>45</v>
      </c>
      <c r="C533" s="14">
        <v>45</v>
      </c>
    </row>
    <row r="534" spans="2:3" x14ac:dyDescent="0.25">
      <c r="B534" s="14">
        <v>50</v>
      </c>
      <c r="C534" s="14">
        <v>50</v>
      </c>
    </row>
    <row r="535" spans="2:3" ht="15.75" x14ac:dyDescent="0.25">
      <c r="B535" s="553" t="s">
        <v>154</v>
      </c>
      <c r="C535" s="553" t="s">
        <v>154</v>
      </c>
    </row>
    <row r="536" spans="2:3" x14ac:dyDescent="0.25">
      <c r="B536" t="s">
        <v>136</v>
      </c>
      <c r="C536" t="s">
        <v>136</v>
      </c>
    </row>
    <row r="537" spans="2:3" x14ac:dyDescent="0.25">
      <c r="B537" t="s">
        <v>137</v>
      </c>
      <c r="C537" t="s">
        <v>137</v>
      </c>
    </row>
    <row r="538" spans="2:3" ht="15.75" x14ac:dyDescent="0.25">
      <c r="B538" s="553" t="s">
        <v>114</v>
      </c>
      <c r="C538" s="553" t="s">
        <v>114</v>
      </c>
    </row>
    <row r="539" spans="2:3" x14ac:dyDescent="0.25">
      <c r="B539" s="14" t="s">
        <v>1</v>
      </c>
      <c r="C539" s="14" t="s">
        <v>1</v>
      </c>
    </row>
    <row r="540" spans="2:3" x14ac:dyDescent="0.25">
      <c r="B540" s="14" t="s">
        <v>4738</v>
      </c>
      <c r="C540" s="14" t="s">
        <v>4738</v>
      </c>
    </row>
    <row r="541" spans="2:3" x14ac:dyDescent="0.25">
      <c r="B541" t="s">
        <v>288</v>
      </c>
      <c r="C541" t="s">
        <v>5063</v>
      </c>
    </row>
    <row r="542" spans="2:3" x14ac:dyDescent="0.25">
      <c r="B542" t="s">
        <v>4739</v>
      </c>
      <c r="C542" t="s">
        <v>4739</v>
      </c>
    </row>
    <row r="543" spans="2:3" x14ac:dyDescent="0.25">
      <c r="B543" t="s">
        <v>289</v>
      </c>
      <c r="C543" t="s">
        <v>289</v>
      </c>
    </row>
    <row r="544" spans="2:3" x14ac:dyDescent="0.25">
      <c r="B544" t="s">
        <v>290</v>
      </c>
      <c r="C544" t="s">
        <v>290</v>
      </c>
    </row>
    <row r="545" spans="2:3" x14ac:dyDescent="0.25">
      <c r="B545" t="s">
        <v>4740</v>
      </c>
      <c r="C545" t="s">
        <v>5064</v>
      </c>
    </row>
    <row r="546" spans="2:3" ht="15.75" x14ac:dyDescent="0.25">
      <c r="B546" s="555" t="s">
        <v>115</v>
      </c>
      <c r="C546" s="555" t="s">
        <v>115</v>
      </c>
    </row>
    <row r="547" spans="2:3" x14ac:dyDescent="0.25">
      <c r="B547" s="14">
        <v>20</v>
      </c>
      <c r="C547" s="14">
        <v>20</v>
      </c>
    </row>
    <row r="548" spans="2:3" x14ac:dyDescent="0.25">
      <c r="B548" s="14">
        <v>25</v>
      </c>
      <c r="C548" s="14">
        <v>25</v>
      </c>
    </row>
    <row r="549" spans="2:3" x14ac:dyDescent="0.25">
      <c r="B549" s="14">
        <v>30</v>
      </c>
      <c r="C549" s="14">
        <v>30</v>
      </c>
    </row>
    <row r="550" spans="2:3" x14ac:dyDescent="0.25">
      <c r="B550" s="14">
        <v>35</v>
      </c>
      <c r="C550" s="14">
        <v>35</v>
      </c>
    </row>
    <row r="551" spans="2:3" x14ac:dyDescent="0.25">
      <c r="B551" s="14">
        <v>40</v>
      </c>
      <c r="C551" s="14">
        <v>40</v>
      </c>
    </row>
    <row r="552" spans="2:3" x14ac:dyDescent="0.25">
      <c r="B552" s="14">
        <v>45</v>
      </c>
      <c r="C552" s="14">
        <v>45</v>
      </c>
    </row>
    <row r="553" spans="2:3" ht="15.75" x14ac:dyDescent="0.25">
      <c r="B553" s="555" t="s">
        <v>116</v>
      </c>
      <c r="C553" s="555" t="s">
        <v>116</v>
      </c>
    </row>
    <row r="554" spans="2:3" x14ac:dyDescent="0.25">
      <c r="B554" t="s">
        <v>1</v>
      </c>
      <c r="C554" t="s">
        <v>1</v>
      </c>
    </row>
    <row r="555" spans="2:3" x14ac:dyDescent="0.25">
      <c r="B555" t="s">
        <v>40</v>
      </c>
      <c r="C555" t="s">
        <v>40</v>
      </c>
    </row>
    <row r="556" spans="2:3" x14ac:dyDescent="0.25">
      <c r="B556" t="s">
        <v>291</v>
      </c>
      <c r="C556" t="s">
        <v>5026</v>
      </c>
    </row>
    <row r="557" spans="2:3" ht="15.75" x14ac:dyDescent="0.25">
      <c r="B557" s="555" t="s">
        <v>117</v>
      </c>
      <c r="C557" s="555" t="s">
        <v>117</v>
      </c>
    </row>
    <row r="558" spans="2:3" x14ac:dyDescent="0.25">
      <c r="B558" s="14">
        <v>120</v>
      </c>
      <c r="C558" s="14">
        <v>120</v>
      </c>
    </row>
    <row r="559" spans="2:3" x14ac:dyDescent="0.25">
      <c r="B559" s="14">
        <v>90</v>
      </c>
      <c r="C559" s="14">
        <v>90</v>
      </c>
    </row>
    <row r="560" spans="2:3" x14ac:dyDescent="0.25">
      <c r="B560" t="s">
        <v>292</v>
      </c>
      <c r="C560" t="s">
        <v>5027</v>
      </c>
    </row>
    <row r="561" spans="2:3" ht="15.75" x14ac:dyDescent="0.25">
      <c r="B561" s="555" t="s">
        <v>118</v>
      </c>
      <c r="C561" s="555" t="s">
        <v>118</v>
      </c>
    </row>
    <row r="562" spans="2:3" x14ac:dyDescent="0.25">
      <c r="B562" t="s">
        <v>211</v>
      </c>
      <c r="C562" t="s">
        <v>4524</v>
      </c>
    </row>
    <row r="563" spans="2:3" x14ac:dyDescent="0.25">
      <c r="B563" t="s">
        <v>293</v>
      </c>
      <c r="C563" t="s">
        <v>5028</v>
      </c>
    </row>
    <row r="564" spans="2:3" x14ac:dyDescent="0.25">
      <c r="B564" t="s">
        <v>294</v>
      </c>
      <c r="C564" t="s">
        <v>5029</v>
      </c>
    </row>
    <row r="565" spans="2:3" x14ac:dyDescent="0.25">
      <c r="B565" t="s">
        <v>295</v>
      </c>
      <c r="C565" t="s">
        <v>66</v>
      </c>
    </row>
    <row r="566" spans="2:3" x14ac:dyDescent="0.25">
      <c r="B566" t="s">
        <v>296</v>
      </c>
      <c r="C566" t="s">
        <v>5030</v>
      </c>
    </row>
    <row r="567" spans="2:3" x14ac:dyDescent="0.25">
      <c r="B567" s="201" t="s">
        <v>297</v>
      </c>
      <c r="C567" s="201" t="s">
        <v>4933</v>
      </c>
    </row>
    <row r="568" spans="2:3" x14ac:dyDescent="0.25">
      <c r="B568" s="201" t="s">
        <v>298</v>
      </c>
      <c r="C568" s="201" t="s">
        <v>4934</v>
      </c>
    </row>
    <row r="569" spans="2:3" ht="15.75" x14ac:dyDescent="0.25">
      <c r="B569" s="555" t="s">
        <v>119</v>
      </c>
      <c r="C569" s="555" t="s">
        <v>119</v>
      </c>
    </row>
    <row r="570" spans="2:3" x14ac:dyDescent="0.25">
      <c r="B570" t="s">
        <v>30</v>
      </c>
      <c r="C570" t="s">
        <v>30</v>
      </c>
    </row>
    <row r="571" spans="2:3" x14ac:dyDescent="0.25">
      <c r="B571" t="s">
        <v>299</v>
      </c>
      <c r="C571" t="s">
        <v>5031</v>
      </c>
    </row>
    <row r="572" spans="2:3" x14ac:dyDescent="0.25">
      <c r="B572" t="s">
        <v>300</v>
      </c>
      <c r="C572" t="s">
        <v>5032</v>
      </c>
    </row>
    <row r="573" spans="2:3" x14ac:dyDescent="0.25">
      <c r="B573" t="s">
        <v>301</v>
      </c>
      <c r="C573" t="s">
        <v>5033</v>
      </c>
    </row>
    <row r="574" spans="2:3" ht="15.75" x14ac:dyDescent="0.25">
      <c r="B574" s="555" t="s">
        <v>72</v>
      </c>
      <c r="C574" s="555" t="s">
        <v>72</v>
      </c>
    </row>
    <row r="575" spans="2:3" x14ac:dyDescent="0.25">
      <c r="B575" t="s">
        <v>303</v>
      </c>
      <c r="C575" t="s">
        <v>4570</v>
      </c>
    </row>
    <row r="576" spans="2:3" x14ac:dyDescent="0.25">
      <c r="B576" t="s">
        <v>304</v>
      </c>
      <c r="C576" t="s">
        <v>4571</v>
      </c>
    </row>
    <row r="577" spans="2:3" x14ac:dyDescent="0.25">
      <c r="B577" t="s">
        <v>305</v>
      </c>
      <c r="C577" t="s">
        <v>5034</v>
      </c>
    </row>
    <row r="578" spans="2:3" x14ac:dyDescent="0.25">
      <c r="B578" t="s">
        <v>306</v>
      </c>
      <c r="C578" t="s">
        <v>5035</v>
      </c>
    </row>
    <row r="579" spans="2:3" x14ac:dyDescent="0.25">
      <c r="B579" t="s">
        <v>307</v>
      </c>
      <c r="C579" t="s">
        <v>4574</v>
      </c>
    </row>
    <row r="580" spans="2:3" x14ac:dyDescent="0.25">
      <c r="B580" t="s">
        <v>308</v>
      </c>
      <c r="C580" t="s">
        <v>4575</v>
      </c>
    </row>
    <row r="581" spans="2:3" x14ac:dyDescent="0.25">
      <c r="B581" t="s">
        <v>309</v>
      </c>
      <c r="C581" t="s">
        <v>4576</v>
      </c>
    </row>
    <row r="582" spans="2:3" x14ac:dyDescent="0.25">
      <c r="B582" t="s">
        <v>310</v>
      </c>
      <c r="C582" t="s">
        <v>5036</v>
      </c>
    </row>
    <row r="583" spans="2:3" x14ac:dyDescent="0.25">
      <c r="B583" t="s">
        <v>311</v>
      </c>
      <c r="C583" t="s">
        <v>5037</v>
      </c>
    </row>
    <row r="584" spans="2:3" x14ac:dyDescent="0.25">
      <c r="B584" t="s">
        <v>312</v>
      </c>
      <c r="C584" t="s">
        <v>5038</v>
      </c>
    </row>
    <row r="585" spans="2:3" x14ac:dyDescent="0.25">
      <c r="B585" t="s">
        <v>313</v>
      </c>
      <c r="C585" t="s">
        <v>5039</v>
      </c>
    </row>
    <row r="586" spans="2:3" x14ac:dyDescent="0.25">
      <c r="B586" t="s">
        <v>342</v>
      </c>
      <c r="C586" t="s">
        <v>5041</v>
      </c>
    </row>
    <row r="587" spans="2:3" x14ac:dyDescent="0.25">
      <c r="B587" t="s">
        <v>343</v>
      </c>
      <c r="C587" t="s">
        <v>5042</v>
      </c>
    </row>
    <row r="588" spans="2:3" x14ac:dyDescent="0.25">
      <c r="B588" t="s">
        <v>81</v>
      </c>
      <c r="C588" t="s">
        <v>81</v>
      </c>
    </row>
    <row r="589" spans="2:3" x14ac:dyDescent="0.25">
      <c r="B589" t="s">
        <v>314</v>
      </c>
      <c r="C589" t="s">
        <v>5040</v>
      </c>
    </row>
    <row r="590" spans="2:3" x14ac:dyDescent="0.25">
      <c r="B590" t="s">
        <v>220</v>
      </c>
      <c r="C590" t="s">
        <v>4979</v>
      </c>
    </row>
    <row r="591" spans="2:3" x14ac:dyDescent="0.25">
      <c r="B591" t="s">
        <v>315</v>
      </c>
      <c r="C591" t="s">
        <v>5043</v>
      </c>
    </row>
    <row r="592" spans="2:3" ht="15.75" x14ac:dyDescent="0.25">
      <c r="B592" s="556" t="s">
        <v>98</v>
      </c>
      <c r="C592" s="556" t="s">
        <v>98</v>
      </c>
    </row>
    <row r="593" spans="2:3" x14ac:dyDescent="0.25">
      <c r="B593" t="s">
        <v>316</v>
      </c>
      <c r="C593" t="s">
        <v>4959</v>
      </c>
    </row>
    <row r="594" spans="2:3" x14ac:dyDescent="0.25">
      <c r="B594" t="s">
        <v>317</v>
      </c>
      <c r="C594" t="s">
        <v>4960</v>
      </c>
    </row>
    <row r="595" spans="2:3" x14ac:dyDescent="0.25">
      <c r="B595" t="s">
        <v>318</v>
      </c>
      <c r="C595" t="s">
        <v>4961</v>
      </c>
    </row>
    <row r="596" spans="2:3" ht="15.75" x14ac:dyDescent="0.25">
      <c r="B596" s="555" t="s">
        <v>77</v>
      </c>
      <c r="C596" s="555" t="s">
        <v>77</v>
      </c>
    </row>
    <row r="597" spans="2:3" x14ac:dyDescent="0.25">
      <c r="B597" t="s">
        <v>211</v>
      </c>
      <c r="C597" t="s">
        <v>4524</v>
      </c>
    </row>
    <row r="598" spans="2:3" x14ac:dyDescent="0.25">
      <c r="B598" t="s">
        <v>168</v>
      </c>
      <c r="C598" t="s">
        <v>168</v>
      </c>
    </row>
    <row r="599" spans="2:3" x14ac:dyDescent="0.25">
      <c r="B599" t="s">
        <v>41</v>
      </c>
      <c r="C599" t="s">
        <v>41</v>
      </c>
    </row>
    <row r="600" spans="2:3" x14ac:dyDescent="0.25">
      <c r="B600" t="s">
        <v>82</v>
      </c>
      <c r="C600" t="s">
        <v>82</v>
      </c>
    </row>
    <row r="601" spans="2:3" x14ac:dyDescent="0.25">
      <c r="B601" t="s">
        <v>31</v>
      </c>
      <c r="C601" t="s">
        <v>4892</v>
      </c>
    </row>
    <row r="602" spans="2:3" x14ac:dyDescent="0.25">
      <c r="B602" s="201" t="s">
        <v>85</v>
      </c>
      <c r="C602" s="201" t="s">
        <v>85</v>
      </c>
    </row>
    <row r="603" spans="2:3" x14ac:dyDescent="0.25">
      <c r="B603" t="s">
        <v>319</v>
      </c>
      <c r="C603" t="s">
        <v>4899</v>
      </c>
    </row>
    <row r="604" spans="2:3" x14ac:dyDescent="0.25">
      <c r="B604" t="s">
        <v>230</v>
      </c>
      <c r="C604" t="s">
        <v>5044</v>
      </c>
    </row>
    <row r="605" spans="2:3" x14ac:dyDescent="0.25">
      <c r="B605" t="s">
        <v>320</v>
      </c>
      <c r="C605" t="s">
        <v>5045</v>
      </c>
    </row>
    <row r="606" spans="2:3" x14ac:dyDescent="0.25">
      <c r="B606" t="s">
        <v>321</v>
      </c>
      <c r="C606" t="s">
        <v>5046</v>
      </c>
    </row>
    <row r="607" spans="2:3" x14ac:dyDescent="0.25">
      <c r="B607" t="s">
        <v>322</v>
      </c>
      <c r="C607" t="s">
        <v>5047</v>
      </c>
    </row>
    <row r="608" spans="2:3" x14ac:dyDescent="0.25">
      <c r="B608" t="s">
        <v>323</v>
      </c>
      <c r="C608" t="s">
        <v>5048</v>
      </c>
    </row>
    <row r="609" spans="2:3" x14ac:dyDescent="0.25">
      <c r="B609" t="s">
        <v>324</v>
      </c>
      <c r="C609" t="s">
        <v>5049</v>
      </c>
    </row>
    <row r="610" spans="2:3" x14ac:dyDescent="0.25">
      <c r="B610" t="s">
        <v>325</v>
      </c>
      <c r="C610" t="s">
        <v>5050</v>
      </c>
    </row>
    <row r="611" spans="2:3" x14ac:dyDescent="0.25">
      <c r="B611" t="s">
        <v>238</v>
      </c>
      <c r="C611" t="s">
        <v>4994</v>
      </c>
    </row>
    <row r="612" spans="2:3" x14ac:dyDescent="0.25">
      <c r="B612" s="238" t="s">
        <v>243</v>
      </c>
      <c r="C612" s="238" t="s">
        <v>4909</v>
      </c>
    </row>
    <row r="613" spans="2:3" x14ac:dyDescent="0.25">
      <c r="B613" t="s">
        <v>326</v>
      </c>
      <c r="C613" t="s">
        <v>4604</v>
      </c>
    </row>
    <row r="614" spans="2:3" x14ac:dyDescent="0.25">
      <c r="B614" t="s">
        <v>327</v>
      </c>
      <c r="C614" t="s">
        <v>4605</v>
      </c>
    </row>
    <row r="615" spans="2:3" x14ac:dyDescent="0.25">
      <c r="B615" s="238" t="s">
        <v>244</v>
      </c>
      <c r="C615" s="238" t="s">
        <v>4996</v>
      </c>
    </row>
    <row r="616" spans="2:3" x14ac:dyDescent="0.25">
      <c r="B616" t="s">
        <v>328</v>
      </c>
      <c r="C616" t="s">
        <v>5054</v>
      </c>
    </row>
    <row r="617" spans="2:3" x14ac:dyDescent="0.25">
      <c r="B617" t="s">
        <v>329</v>
      </c>
      <c r="C617" t="s">
        <v>5056</v>
      </c>
    </row>
    <row r="618" spans="2:3" x14ac:dyDescent="0.25">
      <c r="B618" t="s">
        <v>330</v>
      </c>
      <c r="C618" t="s">
        <v>5058</v>
      </c>
    </row>
    <row r="619" spans="2:3" x14ac:dyDescent="0.25">
      <c r="B619" t="s">
        <v>107</v>
      </c>
      <c r="C619" t="s">
        <v>107</v>
      </c>
    </row>
    <row r="620" spans="2:3" x14ac:dyDescent="0.25">
      <c r="B620" t="s">
        <v>108</v>
      </c>
      <c r="C620" t="s">
        <v>108</v>
      </c>
    </row>
    <row r="621" spans="2:3" x14ac:dyDescent="0.25">
      <c r="B621" t="s">
        <v>109</v>
      </c>
      <c r="C621" t="s">
        <v>109</v>
      </c>
    </row>
    <row r="622" spans="2:3" x14ac:dyDescent="0.25">
      <c r="B622" t="s">
        <v>110</v>
      </c>
      <c r="C622" t="s">
        <v>110</v>
      </c>
    </row>
    <row r="623" spans="2:3" x14ac:dyDescent="0.25">
      <c r="B623" t="s">
        <v>331</v>
      </c>
      <c r="C623" t="s">
        <v>5060</v>
      </c>
    </row>
    <row r="624" spans="2:3" x14ac:dyDescent="0.25">
      <c r="B624" t="s">
        <v>332</v>
      </c>
      <c r="C624" t="s">
        <v>5065</v>
      </c>
    </row>
    <row r="625" spans="2:3" x14ac:dyDescent="0.25">
      <c r="B625" t="s">
        <v>333</v>
      </c>
      <c r="C625" t="s">
        <v>4908</v>
      </c>
    </row>
    <row r="626" spans="2:3" x14ac:dyDescent="0.25">
      <c r="B626" t="s">
        <v>33</v>
      </c>
      <c r="C626" t="s">
        <v>4538</v>
      </c>
    </row>
    <row r="627" spans="2:3" x14ac:dyDescent="0.25">
      <c r="B627" t="s">
        <v>18</v>
      </c>
      <c r="C627" t="s">
        <v>18</v>
      </c>
    </row>
    <row r="628" spans="2:3" x14ac:dyDescent="0.25">
      <c r="B628" t="s">
        <v>334</v>
      </c>
      <c r="C628" t="s">
        <v>5068</v>
      </c>
    </row>
    <row r="629" spans="2:3" x14ac:dyDescent="0.25">
      <c r="B629" s="255" t="s">
        <v>207</v>
      </c>
      <c r="C629" s="255" t="s">
        <v>95</v>
      </c>
    </row>
    <row r="630" spans="2:3" x14ac:dyDescent="0.25">
      <c r="B630" s="251" t="s">
        <v>23</v>
      </c>
      <c r="C630" s="251" t="s">
        <v>23</v>
      </c>
    </row>
    <row r="631" spans="2:3" x14ac:dyDescent="0.25">
      <c r="B631" s="251" t="s">
        <v>27</v>
      </c>
      <c r="C631" s="251" t="s">
        <v>27</v>
      </c>
    </row>
    <row r="632" spans="2:3" x14ac:dyDescent="0.25">
      <c r="B632" s="251" t="s">
        <v>24</v>
      </c>
      <c r="C632" s="251" t="s">
        <v>24</v>
      </c>
    </row>
    <row r="633" spans="2:3" x14ac:dyDescent="0.25">
      <c r="B633" s="251" t="s">
        <v>25</v>
      </c>
      <c r="C633" s="251" t="s">
        <v>25</v>
      </c>
    </row>
    <row r="634" spans="2:3" x14ac:dyDescent="0.25">
      <c r="B634" s="251" t="s">
        <v>26</v>
      </c>
      <c r="C634" s="251" t="s">
        <v>26</v>
      </c>
    </row>
    <row r="635" spans="2:3" x14ac:dyDescent="0.25">
      <c r="B635" s="251" t="s">
        <v>208</v>
      </c>
      <c r="C635" s="251" t="s">
        <v>5069</v>
      </c>
    </row>
    <row r="636" spans="2:3" x14ac:dyDescent="0.25">
      <c r="B636" t="s">
        <v>335</v>
      </c>
      <c r="C636" t="s">
        <v>102</v>
      </c>
    </row>
    <row r="637" spans="2:3" x14ac:dyDescent="0.25">
      <c r="B637" t="s">
        <v>336</v>
      </c>
      <c r="C637" t="s">
        <v>103</v>
      </c>
    </row>
    <row r="638" spans="2:3" x14ac:dyDescent="0.25">
      <c r="B638" t="s">
        <v>337</v>
      </c>
      <c r="C638" t="s">
        <v>104</v>
      </c>
    </row>
    <row r="639" spans="2:3" x14ac:dyDescent="0.25">
      <c r="B639" t="s">
        <v>338</v>
      </c>
      <c r="C639" t="s">
        <v>105</v>
      </c>
    </row>
    <row r="640" spans="2:3" x14ac:dyDescent="0.25">
      <c r="B640" t="s">
        <v>339</v>
      </c>
      <c r="C640" t="s">
        <v>106</v>
      </c>
    </row>
    <row r="641" spans="2:3" x14ac:dyDescent="0.25">
      <c r="B641" t="s">
        <v>4630</v>
      </c>
      <c r="C641" t="s">
        <v>4631</v>
      </c>
    </row>
    <row r="642" spans="2:3" x14ac:dyDescent="0.25">
      <c r="B642" t="s">
        <v>4741</v>
      </c>
      <c r="C642" t="s">
        <v>4742</v>
      </c>
    </row>
    <row r="644" spans="2:3" ht="23.25" x14ac:dyDescent="0.35">
      <c r="B644" s="537" t="s">
        <v>4760</v>
      </c>
      <c r="C644" s="537" t="s">
        <v>4760</v>
      </c>
    </row>
    <row r="645" spans="2:3" x14ac:dyDescent="0.25">
      <c r="B645" t="s">
        <v>4761</v>
      </c>
      <c r="C645" t="s">
        <v>5070</v>
      </c>
    </row>
    <row r="646" spans="2:3" x14ac:dyDescent="0.25">
      <c r="B646" t="s">
        <v>180</v>
      </c>
      <c r="C646" t="s">
        <v>4541</v>
      </c>
    </row>
    <row r="647" spans="2:3" x14ac:dyDescent="0.25">
      <c r="B647" t="s">
        <v>4481</v>
      </c>
      <c r="C647" t="s">
        <v>4482</v>
      </c>
    </row>
    <row r="648" spans="2:3" x14ac:dyDescent="0.25">
      <c r="B648" t="s">
        <v>181</v>
      </c>
      <c r="C648" t="s">
        <v>4479</v>
      </c>
    </row>
    <row r="649" spans="2:3" x14ac:dyDescent="0.25">
      <c r="B649" t="s">
        <v>182</v>
      </c>
      <c r="C649" t="s">
        <v>4480</v>
      </c>
    </row>
    <row r="650" spans="2:3" x14ac:dyDescent="0.25">
      <c r="B650" t="s">
        <v>183</v>
      </c>
      <c r="C650" t="s">
        <v>4743</v>
      </c>
    </row>
    <row r="651" spans="2:3" x14ac:dyDescent="0.25">
      <c r="B651" t="s">
        <v>184</v>
      </c>
      <c r="C651" t="s">
        <v>4483</v>
      </c>
    </row>
    <row r="652" spans="2:3" x14ac:dyDescent="0.25">
      <c r="B652" t="s">
        <v>185</v>
      </c>
      <c r="C652" t="s">
        <v>4744</v>
      </c>
    </row>
    <row r="653" spans="2:3" x14ac:dyDescent="0.25">
      <c r="B653" t="s">
        <v>186</v>
      </c>
      <c r="C653" t="s">
        <v>4485</v>
      </c>
    </row>
    <row r="654" spans="2:3" x14ac:dyDescent="0.25">
      <c r="B654" t="s">
        <v>0</v>
      </c>
      <c r="C654" t="s">
        <v>0</v>
      </c>
    </row>
    <row r="655" spans="2:3" x14ac:dyDescent="0.25">
      <c r="B655" t="s">
        <v>187</v>
      </c>
      <c r="C655" t="s">
        <v>4486</v>
      </c>
    </row>
    <row r="656" spans="2:3" x14ac:dyDescent="0.25">
      <c r="B656" t="s">
        <v>188</v>
      </c>
      <c r="C656" t="s">
        <v>4699</v>
      </c>
    </row>
    <row r="657" spans="2:3" x14ac:dyDescent="0.25">
      <c r="B657" t="s">
        <v>126</v>
      </c>
      <c r="C657" t="s">
        <v>164</v>
      </c>
    </row>
    <row r="658" spans="2:3" x14ac:dyDescent="0.25">
      <c r="B658" t="s">
        <v>341</v>
      </c>
      <c r="C658" t="s">
        <v>4745</v>
      </c>
    </row>
    <row r="659" spans="2:3" x14ac:dyDescent="0.25">
      <c r="B659" t="s">
        <v>4487</v>
      </c>
      <c r="C659" s="14" t="s">
        <v>4488</v>
      </c>
    </row>
    <row r="660" spans="2:3" x14ac:dyDescent="0.25">
      <c r="B660" t="s">
        <v>4489</v>
      </c>
      <c r="C660" s="14" t="s">
        <v>4490</v>
      </c>
    </row>
    <row r="661" spans="2:3" x14ac:dyDescent="0.25">
      <c r="B661" t="s">
        <v>4828</v>
      </c>
      <c r="C661" s="14" t="s">
        <v>4491</v>
      </c>
    </row>
    <row r="662" spans="2:3" x14ac:dyDescent="0.25">
      <c r="B662" t="s">
        <v>4492</v>
      </c>
      <c r="C662" s="14" t="s">
        <v>4493</v>
      </c>
    </row>
    <row r="663" spans="2:3" x14ac:dyDescent="0.25">
      <c r="B663" t="s">
        <v>4494</v>
      </c>
      <c r="C663" s="14" t="s">
        <v>4495</v>
      </c>
    </row>
    <row r="664" spans="2:3" x14ac:dyDescent="0.25">
      <c r="B664" t="s">
        <v>4762</v>
      </c>
      <c r="C664" t="s">
        <v>5071</v>
      </c>
    </row>
    <row r="665" spans="2:3" x14ac:dyDescent="0.25">
      <c r="B665" t="s">
        <v>4763</v>
      </c>
      <c r="C665" t="s">
        <v>5072</v>
      </c>
    </row>
    <row r="666" spans="2:3" x14ac:dyDescent="0.25">
      <c r="B666" t="s">
        <v>4764</v>
      </c>
      <c r="C666" t="s">
        <v>5073</v>
      </c>
    </row>
    <row r="667" spans="2:3" x14ac:dyDescent="0.25">
      <c r="B667" t="s">
        <v>4768</v>
      </c>
    </row>
    <row r="668" spans="2:3" x14ac:dyDescent="0.25">
      <c r="B668" t="s">
        <v>166</v>
      </c>
      <c r="C668" t="s">
        <v>166</v>
      </c>
    </row>
    <row r="669" spans="2:3" x14ac:dyDescent="0.25">
      <c r="B669" t="s">
        <v>368</v>
      </c>
      <c r="C669" t="s">
        <v>4765</v>
      </c>
    </row>
    <row r="670" spans="2:3" x14ac:dyDescent="0.25">
      <c r="B670" t="s">
        <v>369</v>
      </c>
      <c r="C670" t="s">
        <v>4766</v>
      </c>
    </row>
    <row r="671" spans="2:3" x14ac:dyDescent="0.25">
      <c r="B671" t="s">
        <v>370</v>
      </c>
      <c r="C671" t="s">
        <v>4767</v>
      </c>
    </row>
    <row r="672" spans="2:3" x14ac:dyDescent="0.25">
      <c r="B672" t="s">
        <v>371</v>
      </c>
      <c r="C672" t="s">
        <v>5074</v>
      </c>
    </row>
    <row r="673" spans="2:3" x14ac:dyDescent="0.25">
      <c r="B673" t="s">
        <v>372</v>
      </c>
      <c r="C673" t="s">
        <v>5075</v>
      </c>
    </row>
    <row r="674" spans="2:3" x14ac:dyDescent="0.25">
      <c r="B674" t="s">
        <v>374</v>
      </c>
      <c r="C674" t="s">
        <v>5076</v>
      </c>
    </row>
    <row r="675" spans="2:3" x14ac:dyDescent="0.25">
      <c r="B675" t="s">
        <v>375</v>
      </c>
      <c r="C675" t="s">
        <v>5077</v>
      </c>
    </row>
    <row r="676" spans="2:3" x14ac:dyDescent="0.25">
      <c r="B676" t="s">
        <v>373</v>
      </c>
      <c r="C676" t="s">
        <v>5078</v>
      </c>
    </row>
    <row r="677" spans="2:3" ht="15.75" x14ac:dyDescent="0.25">
      <c r="B677" s="337" t="s">
        <v>194</v>
      </c>
      <c r="C677" s="337" t="s">
        <v>4499</v>
      </c>
    </row>
    <row r="678" spans="2:3" x14ac:dyDescent="0.25">
      <c r="B678" t="s">
        <v>4700</v>
      </c>
      <c r="C678" t="s">
        <v>4754</v>
      </c>
    </row>
    <row r="679" spans="2:3" x14ac:dyDescent="0.25">
      <c r="B679" t="s">
        <v>4701</v>
      </c>
      <c r="C679" t="s">
        <v>4755</v>
      </c>
    </row>
    <row r="680" spans="2:3" x14ac:dyDescent="0.25">
      <c r="B680" t="s">
        <v>4770</v>
      </c>
      <c r="C680" t="s">
        <v>5079</v>
      </c>
    </row>
    <row r="681" spans="2:3" x14ac:dyDescent="0.25">
      <c r="B681" t="s">
        <v>4769</v>
      </c>
      <c r="C681" t="s">
        <v>4769</v>
      </c>
    </row>
    <row r="682" spans="2:3" x14ac:dyDescent="0.25">
      <c r="B682" s="539" t="s">
        <v>4504</v>
      </c>
      <c r="C682" s="539" t="s">
        <v>4505</v>
      </c>
    </row>
    <row r="683" spans="2:3" ht="15.75" x14ac:dyDescent="0.25">
      <c r="B683" s="558" t="s">
        <v>4772</v>
      </c>
      <c r="C683" s="558" t="s">
        <v>4771</v>
      </c>
    </row>
    <row r="684" spans="2:3" x14ac:dyDescent="0.25">
      <c r="B684" t="s">
        <v>196</v>
      </c>
      <c r="C684" t="s">
        <v>4813</v>
      </c>
    </row>
    <row r="685" spans="2:3" ht="15.75" x14ac:dyDescent="0.25">
      <c r="B685" s="349" t="s">
        <v>376</v>
      </c>
      <c r="C685" s="349" t="s">
        <v>5080</v>
      </c>
    </row>
    <row r="686" spans="2:3" x14ac:dyDescent="0.25">
      <c r="B686" t="s">
        <v>377</v>
      </c>
      <c r="C686" t="s">
        <v>4814</v>
      </c>
    </row>
    <row r="687" spans="2:3" ht="15.75" x14ac:dyDescent="0.25">
      <c r="B687" s="349" t="s">
        <v>198</v>
      </c>
      <c r="C687" s="349" t="s">
        <v>5081</v>
      </c>
    </row>
    <row r="688" spans="2:3" x14ac:dyDescent="0.25">
      <c r="B688" t="s">
        <v>1</v>
      </c>
      <c r="C688" t="s">
        <v>1</v>
      </c>
    </row>
    <row r="689" spans="2:3" x14ac:dyDescent="0.25">
      <c r="B689" t="s">
        <v>4656</v>
      </c>
      <c r="C689" t="s">
        <v>4815</v>
      </c>
    </row>
    <row r="690" spans="2:3" x14ac:dyDescent="0.25">
      <c r="B690" t="s">
        <v>4773</v>
      </c>
      <c r="C690" t="s">
        <v>4857</v>
      </c>
    </row>
    <row r="691" spans="2:3" x14ac:dyDescent="0.25">
      <c r="B691" t="s">
        <v>4774</v>
      </c>
      <c r="C691" t="s">
        <v>4858</v>
      </c>
    </row>
    <row r="692" spans="2:3" x14ac:dyDescent="0.25">
      <c r="B692" t="s">
        <v>4775</v>
      </c>
      <c r="C692" t="s">
        <v>4816</v>
      </c>
    </row>
    <row r="693" spans="2:3" x14ac:dyDescent="0.25">
      <c r="B693" t="s">
        <v>4776</v>
      </c>
      <c r="C693" t="s">
        <v>4859</v>
      </c>
    </row>
    <row r="694" spans="2:3" x14ac:dyDescent="0.25">
      <c r="B694" t="s">
        <v>4708</v>
      </c>
      <c r="C694" t="s">
        <v>4860</v>
      </c>
    </row>
    <row r="695" spans="2:3" x14ac:dyDescent="0.25">
      <c r="B695" t="s">
        <v>199</v>
      </c>
      <c r="C695" t="s">
        <v>4963</v>
      </c>
    </row>
    <row r="696" spans="2:3" x14ac:dyDescent="0.25">
      <c r="B696" t="s">
        <v>200</v>
      </c>
      <c r="C696" t="s">
        <v>4861</v>
      </c>
    </row>
    <row r="697" spans="2:3" ht="15.75" x14ac:dyDescent="0.25">
      <c r="B697" s="349" t="s">
        <v>4777</v>
      </c>
      <c r="C697" s="349" t="s">
        <v>5082</v>
      </c>
    </row>
    <row r="698" spans="2:3" ht="15.75" x14ac:dyDescent="0.25">
      <c r="B698" s="349" t="s">
        <v>205</v>
      </c>
      <c r="C698" s="349" t="s">
        <v>5066</v>
      </c>
    </row>
    <row r="699" spans="2:3" x14ac:dyDescent="0.25">
      <c r="B699" t="s">
        <v>29</v>
      </c>
      <c r="C699" t="s">
        <v>29</v>
      </c>
    </row>
    <row r="700" spans="2:3" x14ac:dyDescent="0.25">
      <c r="B700" t="s">
        <v>4658</v>
      </c>
      <c r="C700" t="s">
        <v>4658</v>
      </c>
    </row>
    <row r="701" spans="2:3" x14ac:dyDescent="0.25">
      <c r="B701" t="s">
        <v>4781</v>
      </c>
      <c r="C701" t="s">
        <v>5083</v>
      </c>
    </row>
    <row r="702" spans="2:3" x14ac:dyDescent="0.25">
      <c r="B702" t="s">
        <v>4510</v>
      </c>
      <c r="C702" t="s">
        <v>4865</v>
      </c>
    </row>
    <row r="703" spans="2:3" x14ac:dyDescent="0.25">
      <c r="B703" t="s">
        <v>206</v>
      </c>
      <c r="C703" t="s">
        <v>5086</v>
      </c>
    </row>
    <row r="704" spans="2:3" x14ac:dyDescent="0.25">
      <c r="B704" s="539" t="s">
        <v>4779</v>
      </c>
      <c r="C704" s="539" t="s">
        <v>5087</v>
      </c>
    </row>
    <row r="705" spans="2:3" x14ac:dyDescent="0.25">
      <c r="B705" s="539" t="s">
        <v>4780</v>
      </c>
      <c r="C705" s="539" t="s">
        <v>5088</v>
      </c>
    </row>
    <row r="706" spans="2:3" ht="15.75" x14ac:dyDescent="0.25">
      <c r="B706" s="349" t="s">
        <v>209</v>
      </c>
      <c r="C706" s="349" t="s">
        <v>4968</v>
      </c>
    </row>
    <row r="707" spans="2:3" x14ac:dyDescent="0.25">
      <c r="B707" t="s">
        <v>13</v>
      </c>
      <c r="C707" t="s">
        <v>13</v>
      </c>
    </row>
    <row r="708" spans="2:3" x14ac:dyDescent="0.25">
      <c r="B708" t="s">
        <v>4689</v>
      </c>
      <c r="C708" t="s">
        <v>4689</v>
      </c>
    </row>
    <row r="709" spans="2:3" ht="15.75" x14ac:dyDescent="0.25">
      <c r="B709" s="349" t="s">
        <v>210</v>
      </c>
      <c r="C709" s="349" t="s">
        <v>4709</v>
      </c>
    </row>
    <row r="710" spans="2:3" x14ac:dyDescent="0.25">
      <c r="B710" t="s">
        <v>173</v>
      </c>
      <c r="C710" t="s">
        <v>173</v>
      </c>
    </row>
    <row r="711" spans="2:3" x14ac:dyDescent="0.25">
      <c r="B711" t="s">
        <v>4782</v>
      </c>
      <c r="C711" t="s">
        <v>5089</v>
      </c>
    </row>
    <row r="712" spans="2:3" x14ac:dyDescent="0.25">
      <c r="B712" t="s">
        <v>4783</v>
      </c>
      <c r="C712" t="s">
        <v>5090</v>
      </c>
    </row>
    <row r="713" spans="2:3" x14ac:dyDescent="0.25">
      <c r="B713" t="s">
        <v>4784</v>
      </c>
      <c r="C713" t="s">
        <v>5091</v>
      </c>
    </row>
    <row r="714" spans="2:3" ht="15.75" x14ac:dyDescent="0.25">
      <c r="B714" s="349" t="s">
        <v>214</v>
      </c>
      <c r="C714" s="349" t="s">
        <v>4972</v>
      </c>
    </row>
    <row r="715" spans="2:3" x14ac:dyDescent="0.25">
      <c r="B715" t="s">
        <v>30</v>
      </c>
      <c r="C715" t="s">
        <v>30</v>
      </c>
    </row>
    <row r="716" spans="2:3" x14ac:dyDescent="0.25">
      <c r="B716" t="s">
        <v>4785</v>
      </c>
      <c r="C716" t="s">
        <v>5092</v>
      </c>
    </row>
    <row r="717" spans="2:3" ht="15.75" x14ac:dyDescent="0.25">
      <c r="B717" s="349" t="s">
        <v>378</v>
      </c>
      <c r="C717" s="349" t="s">
        <v>5093</v>
      </c>
    </row>
    <row r="718" spans="2:3" x14ac:dyDescent="0.25">
      <c r="B718" t="s">
        <v>4672</v>
      </c>
      <c r="C718" t="s">
        <v>4672</v>
      </c>
    </row>
    <row r="719" spans="2:3" x14ac:dyDescent="0.25">
      <c r="B719" t="s">
        <v>44</v>
      </c>
      <c r="C719" t="s">
        <v>44</v>
      </c>
    </row>
    <row r="720" spans="2:3" x14ac:dyDescent="0.25">
      <c r="B720" t="s">
        <v>216</v>
      </c>
      <c r="C720" t="s">
        <v>4878</v>
      </c>
    </row>
    <row r="721" spans="2:3" x14ac:dyDescent="0.25">
      <c r="B721" t="s">
        <v>217</v>
      </c>
      <c r="C721" t="s">
        <v>4879</v>
      </c>
    </row>
    <row r="722" spans="2:3" x14ac:dyDescent="0.25">
      <c r="B722" t="s">
        <v>348</v>
      </c>
      <c r="C722" t="s">
        <v>5094</v>
      </c>
    </row>
    <row r="723" spans="2:3" x14ac:dyDescent="0.25">
      <c r="B723" t="s">
        <v>219</v>
      </c>
      <c r="C723" t="s">
        <v>4881</v>
      </c>
    </row>
    <row r="724" spans="2:3" x14ac:dyDescent="0.25">
      <c r="B724" t="s">
        <v>379</v>
      </c>
      <c r="C724" t="s">
        <v>4882</v>
      </c>
    </row>
    <row r="725" spans="2:3" x14ac:dyDescent="0.25">
      <c r="B725" t="s">
        <v>380</v>
      </c>
      <c r="C725" t="s">
        <v>4883</v>
      </c>
    </row>
    <row r="726" spans="2:3" x14ac:dyDescent="0.25">
      <c r="B726" t="s">
        <v>381</v>
      </c>
      <c r="C726" t="s">
        <v>4884</v>
      </c>
    </row>
    <row r="727" spans="2:3" x14ac:dyDescent="0.25">
      <c r="B727" t="s">
        <v>382</v>
      </c>
      <c r="C727" t="s">
        <v>4885</v>
      </c>
    </row>
    <row r="728" spans="2:3" x14ac:dyDescent="0.25">
      <c r="B728" t="s">
        <v>4788</v>
      </c>
      <c r="C728" t="s">
        <v>5095</v>
      </c>
    </row>
    <row r="729" spans="2:3" x14ac:dyDescent="0.25">
      <c r="B729" t="s">
        <v>4789</v>
      </c>
      <c r="C729" t="s">
        <v>5096</v>
      </c>
    </row>
    <row r="730" spans="2:3" x14ac:dyDescent="0.25">
      <c r="B730" t="s">
        <v>226</v>
      </c>
      <c r="C730" t="s">
        <v>4980</v>
      </c>
    </row>
    <row r="731" spans="2:3" ht="15.75" x14ac:dyDescent="0.25">
      <c r="B731" s="349" t="s">
        <v>225</v>
      </c>
      <c r="C731" s="349" t="s">
        <v>4982</v>
      </c>
    </row>
    <row r="732" spans="2:3" x14ac:dyDescent="0.25">
      <c r="B732" t="s">
        <v>211</v>
      </c>
      <c r="C732" t="s">
        <v>4524</v>
      </c>
    </row>
    <row r="733" spans="2:3" x14ac:dyDescent="0.25">
      <c r="B733" t="s">
        <v>4717</v>
      </c>
      <c r="C733" t="s">
        <v>4717</v>
      </c>
    </row>
    <row r="734" spans="2:3" x14ac:dyDescent="0.25">
      <c r="B734" t="s">
        <v>4526</v>
      </c>
      <c r="C734" t="s">
        <v>4526</v>
      </c>
    </row>
    <row r="735" spans="2:3" x14ac:dyDescent="0.25">
      <c r="B735" t="s">
        <v>4718</v>
      </c>
      <c r="C735" t="s">
        <v>4983</v>
      </c>
    </row>
    <row r="736" spans="2:3" x14ac:dyDescent="0.25">
      <c r="B736" t="s">
        <v>350</v>
      </c>
      <c r="C736" t="s">
        <v>4891</v>
      </c>
    </row>
    <row r="737" spans="2:3" x14ac:dyDescent="0.25">
      <c r="B737" t="s">
        <v>31</v>
      </c>
      <c r="C737" t="s">
        <v>4892</v>
      </c>
    </row>
    <row r="738" spans="2:3" ht="15.75" x14ac:dyDescent="0.25">
      <c r="B738" s="485" t="s">
        <v>227</v>
      </c>
      <c r="C738" s="485" t="s">
        <v>85</v>
      </c>
    </row>
    <row r="739" spans="2:3" x14ac:dyDescent="0.25">
      <c r="B739" t="s">
        <v>228</v>
      </c>
      <c r="C739" t="s">
        <v>4984</v>
      </c>
    </row>
    <row r="740" spans="2:3" x14ac:dyDescent="0.25">
      <c r="B740" t="s">
        <v>231</v>
      </c>
      <c r="C740" t="s">
        <v>4900</v>
      </c>
    </row>
    <row r="741" spans="2:3" x14ac:dyDescent="0.25">
      <c r="B741" s="694" t="s">
        <v>232</v>
      </c>
      <c r="C741" s="694" t="s">
        <v>4895</v>
      </c>
    </row>
    <row r="742" spans="2:3" x14ac:dyDescent="0.25">
      <c r="B742" t="s">
        <v>229</v>
      </c>
      <c r="C742" t="s">
        <v>4985</v>
      </c>
    </row>
    <row r="743" spans="2:3" x14ac:dyDescent="0.25">
      <c r="B743" t="s">
        <v>231</v>
      </c>
      <c r="C743" t="s">
        <v>4986</v>
      </c>
    </row>
    <row r="744" spans="2:3" x14ac:dyDescent="0.25">
      <c r="B744" t="s">
        <v>233</v>
      </c>
      <c r="C744" t="s">
        <v>4896</v>
      </c>
    </row>
    <row r="745" spans="2:3" x14ac:dyDescent="0.25">
      <c r="B745" t="s">
        <v>235</v>
      </c>
      <c r="C745" t="s">
        <v>5097</v>
      </c>
    </row>
    <row r="746" spans="2:3" x14ac:dyDescent="0.25">
      <c r="B746" t="s">
        <v>234</v>
      </c>
      <c r="C746" t="s">
        <v>5098</v>
      </c>
    </row>
    <row r="747" spans="2:3" x14ac:dyDescent="0.25">
      <c r="B747" t="s">
        <v>32</v>
      </c>
      <c r="C747" t="s">
        <v>32</v>
      </c>
    </row>
    <row r="748" spans="2:3" x14ac:dyDescent="0.25">
      <c r="B748" t="s">
        <v>236</v>
      </c>
      <c r="C748" t="s">
        <v>5099</v>
      </c>
    </row>
    <row r="749" spans="2:3" x14ac:dyDescent="0.25">
      <c r="B749" t="s">
        <v>352</v>
      </c>
      <c r="C749" t="s">
        <v>4992</v>
      </c>
    </row>
    <row r="750" spans="2:3" x14ac:dyDescent="0.25">
      <c r="B750" t="s">
        <v>238</v>
      </c>
      <c r="C750" t="s">
        <v>4994</v>
      </c>
    </row>
    <row r="751" spans="2:3" x14ac:dyDescent="0.25">
      <c r="B751" t="s">
        <v>239</v>
      </c>
      <c r="C751" t="s">
        <v>5100</v>
      </c>
    </row>
    <row r="752" spans="2:3" x14ac:dyDescent="0.25">
      <c r="B752" t="s">
        <v>4675</v>
      </c>
      <c r="C752" t="s">
        <v>4905</v>
      </c>
    </row>
    <row r="753" spans="2:3" x14ac:dyDescent="0.25">
      <c r="B753" t="s">
        <v>241</v>
      </c>
      <c r="C753" t="s">
        <v>4993</v>
      </c>
    </row>
    <row r="754" spans="2:3" x14ac:dyDescent="0.25">
      <c r="B754" t="s">
        <v>242</v>
      </c>
      <c r="C754" t="s">
        <v>4907</v>
      </c>
    </row>
    <row r="755" spans="2:3" x14ac:dyDescent="0.25">
      <c r="B755" t="s">
        <v>240</v>
      </c>
      <c r="C755" t="s">
        <v>4991</v>
      </c>
    </row>
    <row r="756" spans="2:3" x14ac:dyDescent="0.25">
      <c r="B756" t="s">
        <v>243</v>
      </c>
      <c r="C756" t="s">
        <v>4909</v>
      </c>
    </row>
    <row r="757" spans="2:3" x14ac:dyDescent="0.25">
      <c r="B757" t="s">
        <v>4790</v>
      </c>
      <c r="C757" t="s">
        <v>5052</v>
      </c>
    </row>
    <row r="758" spans="2:3" x14ac:dyDescent="0.25">
      <c r="B758" t="s">
        <v>244</v>
      </c>
      <c r="C758" t="s">
        <v>4996</v>
      </c>
    </row>
    <row r="759" spans="2:3" x14ac:dyDescent="0.25">
      <c r="B759" t="s">
        <v>16</v>
      </c>
      <c r="C759" t="s">
        <v>16</v>
      </c>
    </row>
    <row r="760" spans="2:3" x14ac:dyDescent="0.25">
      <c r="B760" t="s">
        <v>17</v>
      </c>
      <c r="C760" t="s">
        <v>17</v>
      </c>
    </row>
    <row r="761" spans="2:3" x14ac:dyDescent="0.25">
      <c r="B761" t="s">
        <v>244</v>
      </c>
      <c r="C761" t="s">
        <v>4996</v>
      </c>
    </row>
    <row r="762" spans="2:3" x14ac:dyDescent="0.25">
      <c r="B762" t="s">
        <v>245</v>
      </c>
      <c r="C762" t="s">
        <v>4912</v>
      </c>
    </row>
    <row r="763" spans="2:3" x14ac:dyDescent="0.25">
      <c r="B763" t="s">
        <v>4792</v>
      </c>
      <c r="C763" t="s">
        <v>5101</v>
      </c>
    </row>
    <row r="764" spans="2:3" x14ac:dyDescent="0.25">
      <c r="B764" t="s">
        <v>4676</v>
      </c>
      <c r="C764" t="s">
        <v>5055</v>
      </c>
    </row>
    <row r="765" spans="2:3" x14ac:dyDescent="0.25">
      <c r="B765" t="s">
        <v>4677</v>
      </c>
      <c r="C765" t="s">
        <v>5057</v>
      </c>
    </row>
    <row r="766" spans="2:3" ht="15.75" x14ac:dyDescent="0.25">
      <c r="B766" s="106" t="s">
        <v>246</v>
      </c>
      <c r="C766" s="106" t="s">
        <v>57</v>
      </c>
    </row>
    <row r="767" spans="2:3" x14ac:dyDescent="0.25">
      <c r="B767" t="s">
        <v>247</v>
      </c>
      <c r="C767" t="s">
        <v>4904</v>
      </c>
    </row>
    <row r="768" spans="2:3" x14ac:dyDescent="0.25">
      <c r="B768" t="s">
        <v>248</v>
      </c>
      <c r="C768" t="s">
        <v>4999</v>
      </c>
    </row>
    <row r="769" spans="2:3" x14ac:dyDescent="0.25">
      <c r="B769" t="s">
        <v>333</v>
      </c>
      <c r="C769" t="s">
        <v>4908</v>
      </c>
    </row>
    <row r="770" spans="2:3" x14ac:dyDescent="0.25">
      <c r="B770" t="s">
        <v>33</v>
      </c>
      <c r="C770" t="s">
        <v>4538</v>
      </c>
    </row>
    <row r="771" spans="2:3" x14ac:dyDescent="0.25">
      <c r="B771" t="s">
        <v>250</v>
      </c>
      <c r="C771" t="s">
        <v>93</v>
      </c>
    </row>
    <row r="772" spans="2:3" x14ac:dyDescent="0.25">
      <c r="B772" s="14" t="s">
        <v>252</v>
      </c>
      <c r="C772" s="14" t="s">
        <v>4918</v>
      </c>
    </row>
    <row r="773" spans="2:3" x14ac:dyDescent="0.25">
      <c r="B773" t="s">
        <v>253</v>
      </c>
      <c r="C773" t="s">
        <v>5000</v>
      </c>
    </row>
    <row r="774" spans="2:3" x14ac:dyDescent="0.25">
      <c r="B774" t="s">
        <v>4793</v>
      </c>
      <c r="C774" t="s">
        <v>4916</v>
      </c>
    </row>
    <row r="775" spans="2:3" x14ac:dyDescent="0.25">
      <c r="B775" t="s">
        <v>4724</v>
      </c>
      <c r="C775" t="s">
        <v>5001</v>
      </c>
    </row>
    <row r="776" spans="2:3" x14ac:dyDescent="0.25">
      <c r="B776" t="s">
        <v>98</v>
      </c>
      <c r="C776" t="s">
        <v>98</v>
      </c>
    </row>
    <row r="777" spans="2:3" x14ac:dyDescent="0.25">
      <c r="B777" t="s">
        <v>4791</v>
      </c>
      <c r="C777" t="s">
        <v>4791</v>
      </c>
    </row>
    <row r="778" spans="2:3" x14ac:dyDescent="0.25">
      <c r="B778" t="s">
        <v>4794</v>
      </c>
      <c r="C778" t="s">
        <v>5102</v>
      </c>
    </row>
    <row r="779" spans="2:3" x14ac:dyDescent="0.25">
      <c r="B779" t="s">
        <v>330</v>
      </c>
      <c r="C779" t="s">
        <v>5058</v>
      </c>
    </row>
    <row r="780" spans="2:3" x14ac:dyDescent="0.25">
      <c r="B780" t="s">
        <v>107</v>
      </c>
      <c r="C780" t="s">
        <v>107</v>
      </c>
    </row>
    <row r="781" spans="2:3" x14ac:dyDescent="0.25">
      <c r="B781" t="s">
        <v>108</v>
      </c>
      <c r="C781" t="s">
        <v>108</v>
      </c>
    </row>
    <row r="782" spans="2:3" x14ac:dyDescent="0.25">
      <c r="B782" t="s">
        <v>109</v>
      </c>
      <c r="C782" t="s">
        <v>109</v>
      </c>
    </row>
    <row r="783" spans="2:3" x14ac:dyDescent="0.25">
      <c r="B783" t="s">
        <v>110</v>
      </c>
      <c r="C783" t="s">
        <v>110</v>
      </c>
    </row>
    <row r="784" spans="2:3" x14ac:dyDescent="0.25">
      <c r="B784" s="93" t="s">
        <v>4728</v>
      </c>
      <c r="C784" s="93" t="s">
        <v>5025</v>
      </c>
    </row>
    <row r="785" spans="2:3" x14ac:dyDescent="0.25">
      <c r="B785" t="s">
        <v>255</v>
      </c>
      <c r="C785" t="s">
        <v>4539</v>
      </c>
    </row>
    <row r="786" spans="2:3" x14ac:dyDescent="0.25">
      <c r="B786" t="s">
        <v>257</v>
      </c>
      <c r="C786" t="s">
        <v>4540</v>
      </c>
    </row>
    <row r="787" spans="2:3" x14ac:dyDescent="0.25">
      <c r="B787" t="s">
        <v>171</v>
      </c>
      <c r="C787" t="s">
        <v>171</v>
      </c>
    </row>
    <row r="788" spans="2:3" x14ac:dyDescent="0.25">
      <c r="B788" t="s">
        <v>256</v>
      </c>
      <c r="C788" t="s">
        <v>5103</v>
      </c>
    </row>
    <row r="789" spans="2:3" x14ac:dyDescent="0.25">
      <c r="B789" t="s">
        <v>258</v>
      </c>
      <c r="C789" t="s">
        <v>5104</v>
      </c>
    </row>
    <row r="790" spans="2:3" x14ac:dyDescent="0.25">
      <c r="B790" t="s">
        <v>259</v>
      </c>
      <c r="C790" t="s">
        <v>4921</v>
      </c>
    </row>
    <row r="791" spans="2:3" x14ac:dyDescent="0.25">
      <c r="B791" t="s">
        <v>4680</v>
      </c>
      <c r="C791" t="s">
        <v>4919</v>
      </c>
    </row>
    <row r="792" spans="2:3" x14ac:dyDescent="0.25">
      <c r="B792" t="s">
        <v>260</v>
      </c>
      <c r="C792" t="s">
        <v>5007</v>
      </c>
    </row>
    <row r="793" spans="2:3" x14ac:dyDescent="0.25">
      <c r="B793" t="s">
        <v>261</v>
      </c>
      <c r="C793" t="s">
        <v>5105</v>
      </c>
    </row>
    <row r="794" spans="2:3" x14ac:dyDescent="0.25">
      <c r="B794" t="s">
        <v>384</v>
      </c>
      <c r="C794" t="s">
        <v>5106</v>
      </c>
    </row>
    <row r="795" spans="2:3" x14ac:dyDescent="0.25">
      <c r="B795" t="s">
        <v>262</v>
      </c>
      <c r="C795" t="s">
        <v>4924</v>
      </c>
    </row>
    <row r="796" spans="2:3" x14ac:dyDescent="0.25">
      <c r="B796" t="s">
        <v>100</v>
      </c>
    </row>
    <row r="797" spans="2:3" x14ac:dyDescent="0.25">
      <c r="B797" s="700" t="s">
        <v>180</v>
      </c>
      <c r="C797" s="700" t="s">
        <v>4541</v>
      </c>
    </row>
    <row r="798" spans="2:3" x14ac:dyDescent="0.25">
      <c r="B798" s="68" t="s">
        <v>263</v>
      </c>
      <c r="C798" s="68" t="s">
        <v>5009</v>
      </c>
    </row>
    <row r="799" spans="2:3" x14ac:dyDescent="0.25">
      <c r="B799" s="68" t="s">
        <v>126</v>
      </c>
      <c r="C799" s="68" t="s">
        <v>164</v>
      </c>
    </row>
    <row r="800" spans="2:3" x14ac:dyDescent="0.25">
      <c r="B800" t="s">
        <v>4768</v>
      </c>
      <c r="C800" t="s">
        <v>5107</v>
      </c>
    </row>
    <row r="801" spans="2:3" x14ac:dyDescent="0.25">
      <c r="B801" t="s">
        <v>4681</v>
      </c>
      <c r="C801" t="s">
        <v>5108</v>
      </c>
    </row>
    <row r="802" spans="2:3" x14ac:dyDescent="0.25">
      <c r="B802" t="s">
        <v>4682</v>
      </c>
      <c r="C802" t="s">
        <v>4805</v>
      </c>
    </row>
    <row r="803" spans="2:3" x14ac:dyDescent="0.25">
      <c r="B803" t="s">
        <v>4683</v>
      </c>
      <c r="C803" t="s">
        <v>4811</v>
      </c>
    </row>
    <row r="804" spans="2:3" x14ac:dyDescent="0.25">
      <c r="B804" t="s">
        <v>4684</v>
      </c>
      <c r="C804" t="s">
        <v>5109</v>
      </c>
    </row>
    <row r="805" spans="2:3" x14ac:dyDescent="0.25">
      <c r="B805" t="s">
        <v>4685</v>
      </c>
      <c r="C805" t="s">
        <v>4929</v>
      </c>
    </row>
    <row r="806" spans="2:3" x14ac:dyDescent="0.25">
      <c r="B806" t="s">
        <v>4686</v>
      </c>
      <c r="C806" t="s">
        <v>4930</v>
      </c>
    </row>
    <row r="807" spans="2:3" x14ac:dyDescent="0.25">
      <c r="B807" t="s">
        <v>4687</v>
      </c>
      <c r="C807" t="s">
        <v>4931</v>
      </c>
    </row>
    <row r="808" spans="2:3" x14ac:dyDescent="0.25">
      <c r="B808" t="s">
        <v>4688</v>
      </c>
      <c r="C808" t="s">
        <v>5110</v>
      </c>
    </row>
    <row r="809" spans="2:3" x14ac:dyDescent="0.25">
      <c r="B809" t="s">
        <v>264</v>
      </c>
      <c r="C809" t="s">
        <v>4933</v>
      </c>
    </row>
    <row r="810" spans="2:3" x14ac:dyDescent="0.25">
      <c r="B810" t="s">
        <v>265</v>
      </c>
      <c r="C810" t="s">
        <v>4934</v>
      </c>
    </row>
    <row r="811" spans="2:3" x14ac:dyDescent="0.25">
      <c r="B811" t="s">
        <v>266</v>
      </c>
      <c r="C811" t="s">
        <v>4935</v>
      </c>
    </row>
    <row r="812" spans="2:3" x14ac:dyDescent="0.25">
      <c r="B812" t="s">
        <v>267</v>
      </c>
      <c r="C812" t="s">
        <v>5018</v>
      </c>
    </row>
    <row r="813" spans="2:3" x14ac:dyDescent="0.25">
      <c r="B813" t="s">
        <v>268</v>
      </c>
      <c r="C813" t="s">
        <v>4937</v>
      </c>
    </row>
    <row r="814" spans="2:3" x14ac:dyDescent="0.25">
      <c r="B814" t="s">
        <v>227</v>
      </c>
      <c r="C814" t="s">
        <v>85</v>
      </c>
    </row>
    <row r="815" spans="2:3" x14ac:dyDescent="0.25">
      <c r="B815" t="s">
        <v>269</v>
      </c>
      <c r="C815" t="s">
        <v>4938</v>
      </c>
    </row>
    <row r="816" spans="2:3" x14ac:dyDescent="0.25">
      <c r="B816" t="s">
        <v>270</v>
      </c>
      <c r="C816" t="s">
        <v>4939</v>
      </c>
    </row>
    <row r="817" spans="2:3" x14ac:dyDescent="0.25">
      <c r="B817" t="s">
        <v>271</v>
      </c>
      <c r="C817" t="s">
        <v>4940</v>
      </c>
    </row>
    <row r="818" spans="2:3" x14ac:dyDescent="0.25">
      <c r="B818" t="s">
        <v>272</v>
      </c>
      <c r="C818" t="s">
        <v>4941</v>
      </c>
    </row>
    <row r="819" spans="2:3" x14ac:dyDescent="0.25">
      <c r="B819" t="s">
        <v>273</v>
      </c>
      <c r="C819" t="s">
        <v>4942</v>
      </c>
    </row>
    <row r="820" spans="2:3" x14ac:dyDescent="0.25">
      <c r="B820" t="s">
        <v>274</v>
      </c>
      <c r="C820" t="s">
        <v>5053</v>
      </c>
    </row>
    <row r="821" spans="2:3" x14ac:dyDescent="0.25">
      <c r="B821" t="s">
        <v>275</v>
      </c>
      <c r="C821" t="s">
        <v>5061</v>
      </c>
    </row>
    <row r="822" spans="2:3" x14ac:dyDescent="0.25">
      <c r="B822" t="s">
        <v>276</v>
      </c>
      <c r="C822" t="s">
        <v>5067</v>
      </c>
    </row>
    <row r="823" spans="2:3" x14ac:dyDescent="0.25">
      <c r="B823" t="s">
        <v>277</v>
      </c>
      <c r="C823" t="s">
        <v>5111</v>
      </c>
    </row>
    <row r="824" spans="2:3" x14ac:dyDescent="0.25">
      <c r="B824" t="s">
        <v>278</v>
      </c>
      <c r="C824" t="s">
        <v>5023</v>
      </c>
    </row>
    <row r="825" spans="2:3" x14ac:dyDescent="0.25">
      <c r="B825" t="s">
        <v>18</v>
      </c>
      <c r="C825" t="s">
        <v>18</v>
      </c>
    </row>
    <row r="826" spans="2:3" x14ac:dyDescent="0.25">
      <c r="B826" t="s">
        <v>279</v>
      </c>
      <c r="C826" t="s">
        <v>4948</v>
      </c>
    </row>
    <row r="827" spans="2:3" x14ac:dyDescent="0.25">
      <c r="B827" t="s">
        <v>131</v>
      </c>
      <c r="C827" t="s">
        <v>131</v>
      </c>
    </row>
    <row r="828" spans="2:3" x14ac:dyDescent="0.25">
      <c r="B828" t="s">
        <v>274</v>
      </c>
      <c r="C828" t="s">
        <v>5053</v>
      </c>
    </row>
    <row r="829" spans="2:3" x14ac:dyDescent="0.25">
      <c r="B829" t="s">
        <v>280</v>
      </c>
      <c r="C829" t="s">
        <v>4949</v>
      </c>
    </row>
    <row r="830" spans="2:3" x14ac:dyDescent="0.25">
      <c r="B830" t="s">
        <v>281</v>
      </c>
      <c r="C830" t="s">
        <v>4950</v>
      </c>
    </row>
    <row r="831" spans="2:3" x14ac:dyDescent="0.25">
      <c r="B831" t="s">
        <v>282</v>
      </c>
      <c r="C831" t="s">
        <v>4951</v>
      </c>
    </row>
    <row r="832" spans="2:3" x14ac:dyDescent="0.25">
      <c r="B832" t="s">
        <v>283</v>
      </c>
      <c r="C832" t="s">
        <v>4952</v>
      </c>
    </row>
    <row r="833" spans="2:3" x14ac:dyDescent="0.25">
      <c r="B833" t="s">
        <v>284</v>
      </c>
      <c r="C833" t="s">
        <v>4953</v>
      </c>
    </row>
    <row r="834" spans="2:3" x14ac:dyDescent="0.25">
      <c r="B834" t="s">
        <v>285</v>
      </c>
      <c r="C834" t="s">
        <v>4954</v>
      </c>
    </row>
    <row r="835" spans="2:3" x14ac:dyDescent="0.25">
      <c r="B835" t="s">
        <v>367</v>
      </c>
      <c r="C835" t="s">
        <v>4551</v>
      </c>
    </row>
    <row r="836" spans="2:3" x14ac:dyDescent="0.25">
      <c r="B836" s="701" t="s">
        <v>4796</v>
      </c>
    </row>
    <row r="837" spans="2:3" x14ac:dyDescent="0.25">
      <c r="B837" s="255" t="s">
        <v>207</v>
      </c>
      <c r="C837" s="255" t="s">
        <v>95</v>
      </c>
    </row>
    <row r="838" spans="2:3" x14ac:dyDescent="0.25">
      <c r="B838" s="251" t="s">
        <v>23</v>
      </c>
      <c r="C838" s="251" t="s">
        <v>23</v>
      </c>
    </row>
    <row r="839" spans="2:3" x14ac:dyDescent="0.25">
      <c r="B839" s="251" t="s">
        <v>27</v>
      </c>
      <c r="C839" s="251" t="s">
        <v>27</v>
      </c>
    </row>
    <row r="840" spans="2:3" x14ac:dyDescent="0.25">
      <c r="B840" s="251" t="s">
        <v>24</v>
      </c>
      <c r="C840" s="251" t="s">
        <v>24</v>
      </c>
    </row>
    <row r="841" spans="2:3" x14ac:dyDescent="0.25">
      <c r="B841" s="251" t="s">
        <v>25</v>
      </c>
      <c r="C841" s="251" t="s">
        <v>25</v>
      </c>
    </row>
    <row r="842" spans="2:3" x14ac:dyDescent="0.25">
      <c r="B842" s="251" t="s">
        <v>26</v>
      </c>
      <c r="C842" s="251" t="s">
        <v>26</v>
      </c>
    </row>
    <row r="843" spans="2:3" x14ac:dyDescent="0.25">
      <c r="B843" s="251" t="s">
        <v>208</v>
      </c>
      <c r="C843" s="251" t="s">
        <v>101</v>
      </c>
    </row>
    <row r="844" spans="2:3" x14ac:dyDescent="0.25">
      <c r="B844" t="s">
        <v>335</v>
      </c>
      <c r="C844" t="s">
        <v>102</v>
      </c>
    </row>
    <row r="845" spans="2:3" x14ac:dyDescent="0.25">
      <c r="B845" t="s">
        <v>336</v>
      </c>
      <c r="C845" t="s">
        <v>103</v>
      </c>
    </row>
    <row r="846" spans="2:3" x14ac:dyDescent="0.25">
      <c r="B846" t="s">
        <v>337</v>
      </c>
      <c r="C846" t="s">
        <v>104</v>
      </c>
    </row>
    <row r="847" spans="2:3" x14ac:dyDescent="0.25">
      <c r="B847" t="s">
        <v>338</v>
      </c>
      <c r="C847" t="s">
        <v>105</v>
      </c>
    </row>
    <row r="848" spans="2:3" x14ac:dyDescent="0.25">
      <c r="B848" t="s">
        <v>339</v>
      </c>
      <c r="C848" t="s">
        <v>106</v>
      </c>
    </row>
    <row r="849" spans="2:3" x14ac:dyDescent="0.25">
      <c r="B849" s="701" t="s">
        <v>4796</v>
      </c>
    </row>
    <row r="850" spans="2:3" x14ac:dyDescent="0.25">
      <c r="B850" s="540" t="s">
        <v>166</v>
      </c>
      <c r="C850" s="540" t="s">
        <v>166</v>
      </c>
    </row>
    <row r="851" spans="2:3" x14ac:dyDescent="0.25">
      <c r="B851" s="540" t="s">
        <v>368</v>
      </c>
      <c r="C851" s="540" t="s">
        <v>4765</v>
      </c>
    </row>
    <row r="852" spans="2:3" x14ac:dyDescent="0.25">
      <c r="B852" s="540" t="s">
        <v>369</v>
      </c>
      <c r="C852" s="540" t="s">
        <v>4766</v>
      </c>
    </row>
    <row r="853" spans="2:3" x14ac:dyDescent="0.25">
      <c r="B853" s="540" t="s">
        <v>370</v>
      </c>
      <c r="C853" s="540" t="s">
        <v>4767</v>
      </c>
    </row>
    <row r="854" spans="2:3" ht="15.75" x14ac:dyDescent="0.25">
      <c r="B854" s="5" t="s">
        <v>71</v>
      </c>
      <c r="C854" s="5" t="s">
        <v>71</v>
      </c>
    </row>
    <row r="855" spans="2:3" x14ac:dyDescent="0.25">
      <c r="B855" s="14" t="s">
        <v>4700</v>
      </c>
      <c r="C855" s="14" t="s">
        <v>55</v>
      </c>
    </row>
    <row r="856" spans="2:3" x14ac:dyDescent="0.25">
      <c r="B856" s="14" t="s">
        <v>4701</v>
      </c>
      <c r="C856" s="14" t="s">
        <v>56</v>
      </c>
    </row>
    <row r="857" spans="2:3" x14ac:dyDescent="0.25">
      <c r="B857" s="14" t="s">
        <v>246</v>
      </c>
      <c r="C857" s="14" t="s">
        <v>57</v>
      </c>
    </row>
    <row r="858" spans="2:3" ht="15.75" x14ac:dyDescent="0.25">
      <c r="B858" s="5" t="s">
        <v>113</v>
      </c>
      <c r="C858" s="5" t="s">
        <v>113</v>
      </c>
    </row>
    <row r="859" spans="2:3" ht="15.75" x14ac:dyDescent="0.25">
      <c r="B859" s="5" t="s">
        <v>135</v>
      </c>
      <c r="C859" s="5" t="s">
        <v>135</v>
      </c>
    </row>
    <row r="860" spans="2:3" ht="15.75" x14ac:dyDescent="0.25">
      <c r="B860" s="5" t="s">
        <v>139</v>
      </c>
      <c r="C860" s="5" t="s">
        <v>139</v>
      </c>
    </row>
    <row r="861" spans="2:3" x14ac:dyDescent="0.25">
      <c r="B861" s="14" t="s">
        <v>1</v>
      </c>
      <c r="C861" s="14" t="s">
        <v>1</v>
      </c>
    </row>
    <row r="862" spans="2:3" x14ac:dyDescent="0.25">
      <c r="B862" s="14" t="s">
        <v>287</v>
      </c>
      <c r="C862" s="14" t="s">
        <v>58</v>
      </c>
    </row>
    <row r="863" spans="2:3" x14ac:dyDescent="0.25">
      <c r="B863" s="14" t="s">
        <v>288</v>
      </c>
      <c r="C863" s="14" t="s">
        <v>59</v>
      </c>
    </row>
    <row r="864" spans="2:3" x14ac:dyDescent="0.25">
      <c r="B864" s="14" t="s">
        <v>4831</v>
      </c>
      <c r="C864" s="14" t="s">
        <v>60</v>
      </c>
    </row>
    <row r="865" spans="2:3" x14ac:dyDescent="0.25">
      <c r="B865" s="14" t="s">
        <v>289</v>
      </c>
      <c r="C865" s="14" t="s">
        <v>62</v>
      </c>
    </row>
    <row r="866" spans="2:3" x14ac:dyDescent="0.25">
      <c r="B866" s="14" t="s">
        <v>290</v>
      </c>
      <c r="C866" s="14" t="s">
        <v>63</v>
      </c>
    </row>
    <row r="867" spans="2:3" x14ac:dyDescent="0.25">
      <c r="B867" s="14" t="s">
        <v>4832</v>
      </c>
      <c r="C867" s="14" t="s">
        <v>64</v>
      </c>
    </row>
    <row r="868" spans="2:3" x14ac:dyDescent="0.25">
      <c r="B868" s="14" t="s">
        <v>4837</v>
      </c>
      <c r="C868" s="14" t="s">
        <v>4838</v>
      </c>
    </row>
    <row r="869" spans="2:3" ht="15.75" x14ac:dyDescent="0.25">
      <c r="B869" s="702" t="s">
        <v>140</v>
      </c>
      <c r="C869" s="702" t="s">
        <v>140</v>
      </c>
    </row>
    <row r="870" spans="2:3" ht="15.75" x14ac:dyDescent="0.25">
      <c r="B870" s="702" t="s">
        <v>141</v>
      </c>
      <c r="C870" s="702" t="s">
        <v>141</v>
      </c>
    </row>
    <row r="871" spans="2:3" x14ac:dyDescent="0.25">
      <c r="B871" s="14" t="s">
        <v>1</v>
      </c>
      <c r="C871" s="14" t="s">
        <v>1</v>
      </c>
    </row>
    <row r="872" spans="2:3" x14ac:dyDescent="0.25">
      <c r="B872" s="14" t="s">
        <v>40</v>
      </c>
      <c r="C872" s="14" t="s">
        <v>40</v>
      </c>
    </row>
    <row r="873" spans="2:3" x14ac:dyDescent="0.25">
      <c r="B873" s="14" t="s">
        <v>291</v>
      </c>
      <c r="C873" s="14" t="s">
        <v>94</v>
      </c>
    </row>
    <row r="874" spans="2:3" ht="15.75" x14ac:dyDescent="0.25">
      <c r="B874" s="702" t="s">
        <v>142</v>
      </c>
      <c r="C874" s="702" t="s">
        <v>142</v>
      </c>
    </row>
    <row r="875" spans="2:3" x14ac:dyDescent="0.25">
      <c r="B875" s="14" t="s">
        <v>13</v>
      </c>
      <c r="C875" s="14" t="s">
        <v>13</v>
      </c>
    </row>
    <row r="876" spans="2:3" x14ac:dyDescent="0.25">
      <c r="B876" s="14" t="s">
        <v>128</v>
      </c>
      <c r="C876" s="14" t="s">
        <v>128</v>
      </c>
    </row>
    <row r="877" spans="2:3" x14ac:dyDescent="0.25">
      <c r="B877" s="14" t="s">
        <v>4833</v>
      </c>
      <c r="C877" s="14" t="s">
        <v>129</v>
      </c>
    </row>
    <row r="878" spans="2:3" ht="15.75" x14ac:dyDescent="0.25">
      <c r="B878" s="702" t="s">
        <v>143</v>
      </c>
      <c r="C878" s="702" t="s">
        <v>143</v>
      </c>
    </row>
    <row r="879" spans="2:3" x14ac:dyDescent="0.25">
      <c r="B879" s="14" t="s">
        <v>166</v>
      </c>
      <c r="C879" s="14" t="s">
        <v>166</v>
      </c>
    </row>
    <row r="880" spans="2:3" x14ac:dyDescent="0.25">
      <c r="B880" s="14" t="s">
        <v>4834</v>
      </c>
      <c r="C880" s="14" t="s">
        <v>174</v>
      </c>
    </row>
    <row r="881" spans="2:3" x14ac:dyDescent="0.25">
      <c r="B881" s="14" t="s">
        <v>4835</v>
      </c>
      <c r="C881" s="14" t="s">
        <v>175</v>
      </c>
    </row>
    <row r="882" spans="2:3" x14ac:dyDescent="0.25">
      <c r="B882" s="77" t="s">
        <v>264</v>
      </c>
      <c r="C882" s="77" t="s">
        <v>76</v>
      </c>
    </row>
    <row r="883" spans="2:3" ht="15.75" x14ac:dyDescent="0.25">
      <c r="B883" s="702" t="s">
        <v>4836</v>
      </c>
      <c r="C883" s="702" t="s">
        <v>144</v>
      </c>
    </row>
    <row r="884" spans="2:3" x14ac:dyDescent="0.25">
      <c r="B884" s="14" t="s">
        <v>30</v>
      </c>
      <c r="C884" s="14" t="s">
        <v>30</v>
      </c>
    </row>
    <row r="885" spans="2:3" x14ac:dyDescent="0.25">
      <c r="B885" s="14" t="s">
        <v>4729</v>
      </c>
      <c r="C885" s="14" t="s">
        <v>73</v>
      </c>
    </row>
    <row r="886" spans="2:3" x14ac:dyDescent="0.25">
      <c r="B886" s="14" t="s">
        <v>4730</v>
      </c>
      <c r="C886" s="14" t="s">
        <v>96</v>
      </c>
    </row>
    <row r="887" spans="2:3" x14ac:dyDescent="0.25">
      <c r="B887" s="14" t="s">
        <v>301</v>
      </c>
      <c r="C887" s="14" t="s">
        <v>97</v>
      </c>
    </row>
    <row r="888" spans="2:3" ht="15.75" x14ac:dyDescent="0.25">
      <c r="B888" s="702" t="s">
        <v>145</v>
      </c>
      <c r="C888" s="702" t="s">
        <v>145</v>
      </c>
    </row>
    <row r="889" spans="2:3" x14ac:dyDescent="0.25">
      <c r="B889" s="14" t="s">
        <v>303</v>
      </c>
      <c r="C889" s="14" t="s">
        <v>5120</v>
      </c>
    </row>
    <row r="890" spans="2:3" x14ac:dyDescent="0.25">
      <c r="B890" s="14" t="s">
        <v>304</v>
      </c>
      <c r="C890" s="14" t="s">
        <v>5112</v>
      </c>
    </row>
    <row r="891" spans="2:3" x14ac:dyDescent="0.25">
      <c r="B891" s="14" t="s">
        <v>305</v>
      </c>
      <c r="C891" s="14" t="s">
        <v>5123</v>
      </c>
    </row>
    <row r="892" spans="2:3" x14ac:dyDescent="0.25">
      <c r="B892" s="14" t="s">
        <v>306</v>
      </c>
      <c r="C892" s="14" t="s">
        <v>5121</v>
      </c>
    </row>
    <row r="893" spans="2:3" x14ac:dyDescent="0.25">
      <c r="B893" s="14" t="s">
        <v>307</v>
      </c>
      <c r="C893" s="14" t="s">
        <v>5113</v>
      </c>
    </row>
    <row r="894" spans="2:3" x14ac:dyDescent="0.25">
      <c r="B894" s="14" t="s">
        <v>308</v>
      </c>
      <c r="C894" s="14" t="s">
        <v>5114</v>
      </c>
    </row>
    <row r="895" spans="2:3" x14ac:dyDescent="0.25">
      <c r="B895" s="14" t="s">
        <v>309</v>
      </c>
      <c r="C895" s="14" t="s">
        <v>5122</v>
      </c>
    </row>
    <row r="896" spans="2:3" x14ac:dyDescent="0.25">
      <c r="B896" s="14" t="s">
        <v>310</v>
      </c>
      <c r="C896" s="14" t="s">
        <v>5115</v>
      </c>
    </row>
    <row r="897" spans="2:3" x14ac:dyDescent="0.25">
      <c r="B897" s="14" t="s">
        <v>311</v>
      </c>
      <c r="C897" s="14" t="s">
        <v>5116</v>
      </c>
    </row>
    <row r="898" spans="2:3" x14ac:dyDescent="0.25">
      <c r="B898" s="14" t="s">
        <v>312</v>
      </c>
      <c r="C898" s="14" t="s">
        <v>5117</v>
      </c>
    </row>
    <row r="899" spans="2:3" x14ac:dyDescent="0.25">
      <c r="B899" s="14" t="s">
        <v>313</v>
      </c>
      <c r="C899" s="14" t="s">
        <v>5118</v>
      </c>
    </row>
    <row r="900" spans="2:3" x14ac:dyDescent="0.25">
      <c r="B900" s="14" t="s">
        <v>342</v>
      </c>
      <c r="C900" s="14" t="s">
        <v>5124</v>
      </c>
    </row>
    <row r="901" spans="2:3" x14ac:dyDescent="0.25">
      <c r="B901" s="14" t="s">
        <v>343</v>
      </c>
      <c r="C901" s="14" t="s">
        <v>5125</v>
      </c>
    </row>
    <row r="902" spans="2:3" x14ac:dyDescent="0.25">
      <c r="B902" s="14" t="s">
        <v>81</v>
      </c>
      <c r="C902" s="14" t="s">
        <v>81</v>
      </c>
    </row>
    <row r="903" spans="2:3" x14ac:dyDescent="0.25">
      <c r="B903" s="14" t="s">
        <v>314</v>
      </c>
      <c r="C903" s="14" t="s">
        <v>5119</v>
      </c>
    </row>
    <row r="904" spans="2:3" x14ac:dyDescent="0.25">
      <c r="B904" s="14" t="s">
        <v>220</v>
      </c>
      <c r="C904" s="14" t="s">
        <v>4979</v>
      </c>
    </row>
    <row r="905" spans="2:3" x14ac:dyDescent="0.25">
      <c r="B905" s="14" t="s">
        <v>315</v>
      </c>
      <c r="C905" s="14" t="s">
        <v>5043</v>
      </c>
    </row>
    <row r="906" spans="2:3" ht="15.75" x14ac:dyDescent="0.25">
      <c r="B906" s="703" t="s">
        <v>98</v>
      </c>
      <c r="C906" s="703" t="s">
        <v>98</v>
      </c>
    </row>
    <row r="907" spans="2:3" x14ac:dyDescent="0.25">
      <c r="B907" s="14" t="s">
        <v>316</v>
      </c>
      <c r="C907" s="14" t="s">
        <v>4959</v>
      </c>
    </row>
    <row r="908" spans="2:3" x14ac:dyDescent="0.25">
      <c r="B908" s="14" t="s">
        <v>317</v>
      </c>
      <c r="C908" s="14" t="s">
        <v>4960</v>
      </c>
    </row>
    <row r="909" spans="2:3" x14ac:dyDescent="0.25">
      <c r="B909" s="14" t="s">
        <v>318</v>
      </c>
      <c r="C909" s="14" t="s">
        <v>4961</v>
      </c>
    </row>
    <row r="910" spans="2:3" ht="15.75" x14ac:dyDescent="0.25">
      <c r="B910" s="702" t="s">
        <v>146</v>
      </c>
      <c r="C910" s="702" t="s">
        <v>146</v>
      </c>
    </row>
    <row r="911" spans="2:3" x14ac:dyDescent="0.25">
      <c r="B911" s="14" t="s">
        <v>211</v>
      </c>
      <c r="C911" s="14" t="s">
        <v>4524</v>
      </c>
    </row>
    <row r="912" spans="2:3" x14ac:dyDescent="0.25">
      <c r="B912" s="14" t="s">
        <v>168</v>
      </c>
      <c r="C912" s="14" t="s">
        <v>168</v>
      </c>
    </row>
    <row r="913" spans="2:3" x14ac:dyDescent="0.25">
      <c r="B913" s="14" t="s">
        <v>41</v>
      </c>
      <c r="C913" s="14" t="s">
        <v>41</v>
      </c>
    </row>
    <row r="914" spans="2:3" x14ac:dyDescent="0.25">
      <c r="B914" s="14" t="s">
        <v>4582</v>
      </c>
      <c r="C914" s="14" t="s">
        <v>82</v>
      </c>
    </row>
    <row r="915" spans="2:3" x14ac:dyDescent="0.25">
      <c r="B915" s="14" t="s">
        <v>31</v>
      </c>
      <c r="C915" s="14" t="s">
        <v>4892</v>
      </c>
    </row>
    <row r="916" spans="2:3" x14ac:dyDescent="0.25">
      <c r="B916" s="77" t="s">
        <v>227</v>
      </c>
      <c r="C916" s="77" t="s">
        <v>85</v>
      </c>
    </row>
    <row r="917" spans="2:3" x14ac:dyDescent="0.25">
      <c r="B917" s="14" t="s">
        <v>319</v>
      </c>
      <c r="C917" s="14" t="s">
        <v>4899</v>
      </c>
    </row>
    <row r="918" spans="2:3" x14ac:dyDescent="0.25">
      <c r="B918" s="14" t="s">
        <v>230</v>
      </c>
      <c r="C918" s="14" t="s">
        <v>4986</v>
      </c>
    </row>
    <row r="919" spans="2:3" x14ac:dyDescent="0.25">
      <c r="B919" s="14" t="s">
        <v>320</v>
      </c>
      <c r="C919" s="14" t="s">
        <v>5045</v>
      </c>
    </row>
    <row r="920" spans="2:3" x14ac:dyDescent="0.25">
      <c r="B920" s="14" t="s">
        <v>321</v>
      </c>
      <c r="C920" s="14" t="s">
        <v>5046</v>
      </c>
    </row>
    <row r="921" spans="2:3" x14ac:dyDescent="0.25">
      <c r="B921" s="14" t="s">
        <v>322</v>
      </c>
      <c r="C921" s="14" t="s">
        <v>5047</v>
      </c>
    </row>
    <row r="922" spans="2:3" x14ac:dyDescent="0.25">
      <c r="B922" s="14" t="s">
        <v>323</v>
      </c>
      <c r="C922" s="14" t="s">
        <v>5126</v>
      </c>
    </row>
    <row r="923" spans="2:3" x14ac:dyDescent="0.25">
      <c r="B923" s="14" t="s">
        <v>324</v>
      </c>
      <c r="C923" s="14" t="s">
        <v>5127</v>
      </c>
    </row>
    <row r="924" spans="2:3" x14ac:dyDescent="0.25">
      <c r="B924" s="14" t="s">
        <v>325</v>
      </c>
      <c r="C924" s="14" t="s">
        <v>5128</v>
      </c>
    </row>
    <row r="925" spans="2:3" x14ac:dyDescent="0.25">
      <c r="B925" s="14" t="s">
        <v>238</v>
      </c>
      <c r="C925" s="14" t="s">
        <v>4994</v>
      </c>
    </row>
    <row r="926" spans="2:3" x14ac:dyDescent="0.25">
      <c r="B926" s="704" t="s">
        <v>243</v>
      </c>
      <c r="C926" s="704" t="s">
        <v>4909</v>
      </c>
    </row>
    <row r="927" spans="2:3" x14ac:dyDescent="0.25">
      <c r="B927" s="14" t="s">
        <v>326</v>
      </c>
      <c r="C927" s="14" t="s">
        <v>4604</v>
      </c>
    </row>
    <row r="928" spans="2:3" x14ac:dyDescent="0.25">
      <c r="B928" s="14" t="s">
        <v>327</v>
      </c>
      <c r="C928" s="14" t="s">
        <v>4605</v>
      </c>
    </row>
    <row r="929" spans="2:3" x14ac:dyDescent="0.25">
      <c r="B929" s="704" t="s">
        <v>244</v>
      </c>
      <c r="C929" s="704" t="s">
        <v>4996</v>
      </c>
    </row>
    <row r="930" spans="2:3" x14ac:dyDescent="0.25">
      <c r="B930" s="14" t="s">
        <v>328</v>
      </c>
      <c r="C930" s="14" t="s">
        <v>5054</v>
      </c>
    </row>
    <row r="931" spans="2:3" x14ac:dyDescent="0.25">
      <c r="B931" s="14" t="s">
        <v>329</v>
      </c>
      <c r="C931" s="14" t="s">
        <v>5056</v>
      </c>
    </row>
    <row r="932" spans="2:3" x14ac:dyDescent="0.25">
      <c r="B932" s="14" t="s">
        <v>330</v>
      </c>
      <c r="C932" s="14" t="s">
        <v>5058</v>
      </c>
    </row>
    <row r="933" spans="2:3" x14ac:dyDescent="0.25">
      <c r="B933" s="14" t="s">
        <v>107</v>
      </c>
      <c r="C933" s="14" t="s">
        <v>107</v>
      </c>
    </row>
    <row r="934" spans="2:3" x14ac:dyDescent="0.25">
      <c r="B934" s="14" t="s">
        <v>108</v>
      </c>
      <c r="C934" s="14" t="s">
        <v>108</v>
      </c>
    </row>
    <row r="935" spans="2:3" x14ac:dyDescent="0.25">
      <c r="B935" s="14" t="s">
        <v>109</v>
      </c>
      <c r="C935" s="14" t="s">
        <v>109</v>
      </c>
    </row>
    <row r="936" spans="2:3" x14ac:dyDescent="0.25">
      <c r="B936" s="14" t="s">
        <v>110</v>
      </c>
      <c r="C936" s="14" t="s">
        <v>110</v>
      </c>
    </row>
    <row r="937" spans="2:3" x14ac:dyDescent="0.25">
      <c r="B937" s="14" t="s">
        <v>331</v>
      </c>
      <c r="C937" s="14" t="s">
        <v>5060</v>
      </c>
    </row>
    <row r="938" spans="2:3" x14ac:dyDescent="0.25">
      <c r="B938" s="14" t="s">
        <v>332</v>
      </c>
      <c r="C938" s="14" t="s">
        <v>5065</v>
      </c>
    </row>
    <row r="939" spans="2:3" x14ac:dyDescent="0.25">
      <c r="B939" s="14" t="s">
        <v>333</v>
      </c>
      <c r="C939" s="14" t="s">
        <v>4908</v>
      </c>
    </row>
    <row r="940" spans="2:3" x14ac:dyDescent="0.25">
      <c r="B940" s="14" t="s">
        <v>33</v>
      </c>
      <c r="C940" s="14" t="s">
        <v>4538</v>
      </c>
    </row>
    <row r="941" spans="2:3" x14ac:dyDescent="0.25">
      <c r="B941" s="14" t="s">
        <v>18</v>
      </c>
      <c r="C941" s="14" t="s">
        <v>18</v>
      </c>
    </row>
    <row r="942" spans="2:3" x14ac:dyDescent="0.25">
      <c r="B942" s="14" t="s">
        <v>334</v>
      </c>
      <c r="C942" s="14" t="s">
        <v>5068</v>
      </c>
    </row>
    <row r="943" spans="2:3" x14ac:dyDescent="0.25">
      <c r="B943" s="14" t="s">
        <v>4630</v>
      </c>
      <c r="C943" s="14" t="s">
        <v>4631</v>
      </c>
    </row>
    <row r="944" spans="2:3" x14ac:dyDescent="0.25">
      <c r="B944" s="14" t="s">
        <v>4741</v>
      </c>
      <c r="C944" s="14" t="s">
        <v>4742</v>
      </c>
    </row>
    <row r="945" spans="2:3" x14ac:dyDescent="0.25">
      <c r="B945" s="255" t="s">
        <v>207</v>
      </c>
      <c r="C945" s="255" t="s">
        <v>95</v>
      </c>
    </row>
    <row r="946" spans="2:3" x14ac:dyDescent="0.25">
      <c r="B946" s="251" t="s">
        <v>23</v>
      </c>
      <c r="C946" s="251" t="s">
        <v>23</v>
      </c>
    </row>
    <row r="947" spans="2:3" x14ac:dyDescent="0.25">
      <c r="B947" s="251" t="s">
        <v>27</v>
      </c>
      <c r="C947" s="251" t="s">
        <v>27</v>
      </c>
    </row>
    <row r="948" spans="2:3" x14ac:dyDescent="0.25">
      <c r="B948" s="251" t="s">
        <v>24</v>
      </c>
      <c r="C948" s="251" t="s">
        <v>24</v>
      </c>
    </row>
    <row r="949" spans="2:3" x14ac:dyDescent="0.25">
      <c r="B949" s="251" t="s">
        <v>25</v>
      </c>
      <c r="C949" s="251" t="s">
        <v>25</v>
      </c>
    </row>
    <row r="950" spans="2:3" x14ac:dyDescent="0.25">
      <c r="B950" s="251" t="s">
        <v>26</v>
      </c>
      <c r="C950" s="251" t="s">
        <v>26</v>
      </c>
    </row>
    <row r="951" spans="2:3" x14ac:dyDescent="0.25">
      <c r="B951" s="251" t="s">
        <v>208</v>
      </c>
      <c r="C951" s="251" t="s">
        <v>101</v>
      </c>
    </row>
    <row r="952" spans="2:3" x14ac:dyDescent="0.25">
      <c r="B952" t="s">
        <v>335</v>
      </c>
      <c r="C952" t="s">
        <v>102</v>
      </c>
    </row>
    <row r="953" spans="2:3" x14ac:dyDescent="0.25">
      <c r="B953" t="s">
        <v>336</v>
      </c>
      <c r="C953" t="s">
        <v>103</v>
      </c>
    </row>
    <row r="954" spans="2:3" x14ac:dyDescent="0.25">
      <c r="B954" t="s">
        <v>337</v>
      </c>
      <c r="C954" t="s">
        <v>104</v>
      </c>
    </row>
    <row r="955" spans="2:3" x14ac:dyDescent="0.25">
      <c r="B955" t="s">
        <v>338</v>
      </c>
      <c r="C955" t="s">
        <v>105</v>
      </c>
    </row>
    <row r="956" spans="2:3" x14ac:dyDescent="0.25">
      <c r="B956" t="s">
        <v>339</v>
      </c>
      <c r="C956" t="s">
        <v>106</v>
      </c>
    </row>
    <row r="957" spans="2:3" x14ac:dyDescent="0.25">
      <c r="B957" t="s">
        <v>4842</v>
      </c>
      <c r="C957" t="s">
        <v>4843</v>
      </c>
    </row>
  </sheetData>
  <sheetProtection sheet="1" objects="1" scenarios="1"/>
  <hyperlinks>
    <hyperlink ref="A1" location="Language!A2" display="UPP" xr:uid="{03AF3C17-FBE0-4201-AC4E-5EE61A7349A4}"/>
    <hyperlink ref="A2" location="Language!A371" display="U3" xr:uid="{7355E4F3-EFB6-46DE-B9AD-C3E0BEE86133}"/>
    <hyperlink ref="A8" location="Language!A675" display="SWING" xr:uid="{7FDE52D1-7EA1-4A5F-AFD2-23A9574651DD}"/>
    <hyperlink ref="A326" location="Language!A675" display="SWING" xr:uid="{C2D8D937-2682-4553-ABF1-497E77453DF3}"/>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S3 U3 Swing</vt:lpstr>
      <vt:lpstr>S3 models</vt:lpstr>
      <vt:lpstr>Weights</vt:lpstr>
      <vt:lpstr>U3 models</vt:lpstr>
      <vt:lpstr>Weights_U3</vt:lpstr>
      <vt:lpstr>S3 Swing models</vt:lpstr>
      <vt:lpstr>GP</vt:lpstr>
      <vt:lpstr>Weights_Swing</vt:lpstr>
      <vt:lpstr>Language</vt:lpstr>
      <vt:lpstr>Välj_höjning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Mikael Beskow</dc:creator>
  <cp:lastModifiedBy>Mikael Beskow</cp:lastModifiedBy>
  <cp:lastPrinted>2023-04-21T09:47:38Z</cp:lastPrinted>
  <dcterms:created xsi:type="dcterms:W3CDTF">2023-02-20T15:20:29Z</dcterms:created>
  <dcterms:modified xsi:type="dcterms:W3CDTF">2024-01-05T09:40:45Z</dcterms:modified>
</cp:coreProperties>
</file>